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i unidad\3- INVESTIGACIÓN\1. ARTÍCULOS\0. CIRIEC - GENERO\"/>
    </mc:Choice>
  </mc:AlternateContent>
  <xr:revisionPtr revIDLastSave="0" documentId="13_ncr:1_{56CE9A74-1BBA-46BF-A715-8459040638EC}" xr6:coauthVersionLast="36" xr6:coauthVersionMax="43" xr10:uidLastSave="{00000000-0000-0000-0000-000000000000}"/>
  <bookViews>
    <workbookView xWindow="-90" yWindow="540" windowWidth="19395" windowHeight="9765" tabRatio="862" firstSheet="11" activeTab="21" xr2:uid="{00000000-000D-0000-FFFF-FFFF00000000}"/>
  </bookViews>
  <sheets>
    <sheet name="PORTADA" sheetId="1" r:id="rId1"/>
    <sheet name="0.FICHA" sheetId="21" r:id="rId2"/>
    <sheet name="INDICE" sheetId="20" r:id="rId3"/>
    <sheet name="DATOS PyG" sheetId="35" r:id="rId4"/>
    <sheet name="DATOS" sheetId="39" r:id="rId5"/>
    <sheet name="EVA_Generación VAB" sheetId="36" r:id="rId6"/>
    <sheet name="EVA_Aplicación del VAB" sheetId="37" r:id="rId7"/>
    <sheet name="FINANCIACIÓN" sheetId="40" r:id="rId8"/>
    <sheet name="VES-D" sheetId="41" r:id="rId9"/>
    <sheet name="VES-IP" sheetId="42" r:id="rId10"/>
    <sheet name="VES-IP (I)" sheetId="43" r:id="rId11"/>
    <sheet name="VES-IC" sheetId="44" r:id="rId12"/>
    <sheet name="DATOS GÉNERO " sheetId="51" r:id="rId13"/>
    <sheet name="GWEI" sheetId="52" r:id="rId14"/>
    <sheet name="A-A" sheetId="46" r:id="rId15"/>
    <sheet name="VSE-F" sheetId="47" r:id="rId16"/>
    <sheet name="VS-EX" sheetId="48" r:id="rId17"/>
    <sheet name="V.EMOC" sheetId="27" r:id="rId18"/>
    <sheet name="V.INTEGRAL" sheetId="11" r:id="rId19"/>
    <sheet name="CA GENERO" sheetId="53" r:id="rId20"/>
    <sheet name="CA GENERO(2)" sheetId="54" r:id="rId21"/>
    <sheet name="RATIOS" sheetId="50" r:id="rId22"/>
    <sheet name="GRAFICOS" sheetId="33" r:id="rId23"/>
    <sheet name="GRAFICOS 2" sheetId="34" r:id="rId24"/>
    <sheet name="MVM1" sheetId="13" r:id="rId25"/>
    <sheet name="MVM2" sheetId="29" r:id="rId26"/>
    <sheet name="INFORME" sheetId="24" r:id="rId27"/>
  </sheets>
  <externalReferences>
    <externalReference r:id="rId28"/>
    <externalReference r:id="rId29"/>
    <externalReference r:id="rId30"/>
    <externalReference r:id="rId31"/>
  </externalReferences>
  <definedNames>
    <definedName name="_xlchart.v2.0" hidden="1">GRAFICOS!$N$2:$N$5</definedName>
    <definedName name="_xlchart.v2.1" hidden="1">GRAFICOS!$O$2:$O$5</definedName>
    <definedName name="_xlnm.Print_Area" localSheetId="1">'0.FICHA'!$A$1:$E$99</definedName>
    <definedName name="_xlnm.Print_Area" localSheetId="5">'EVA_Generación VAB'!$A$1:$E$30</definedName>
    <definedName name="_xlnm.Print_Area" localSheetId="2">INDICE!$A$1:$K$27</definedName>
    <definedName name="_xlnm.Print_Area" localSheetId="17">V.EMOC!$A$1:$P$16</definedName>
    <definedName name="meses">[1]sb!$C$13:$C$24</definedName>
  </definedNames>
  <calcPr calcId="191029"/>
  <fileRecoveryPr autoRecover="0"/>
</workbook>
</file>

<file path=xl/calcChain.xml><?xml version="1.0" encoding="utf-8"?>
<calcChain xmlns="http://schemas.openxmlformats.org/spreadsheetml/2006/main">
  <c r="F9" i="52" l="1"/>
  <c r="E9" i="52"/>
  <c r="D9" i="52"/>
  <c r="C9" i="52"/>
  <c r="U29" i="50" l="1"/>
  <c r="U31" i="50"/>
  <c r="U32" i="50"/>
  <c r="U33" i="50"/>
  <c r="U34" i="50"/>
  <c r="U35" i="50"/>
  <c r="W29" i="50"/>
  <c r="W31" i="50"/>
  <c r="W32" i="50"/>
  <c r="W33" i="50"/>
  <c r="W34" i="50"/>
  <c r="W35" i="50"/>
  <c r="U24" i="50"/>
  <c r="S29" i="50"/>
  <c r="S31" i="50"/>
  <c r="S33" i="50"/>
  <c r="Q29" i="50"/>
  <c r="Q33" i="50"/>
  <c r="O25" i="50"/>
  <c r="O26" i="50"/>
  <c r="O27" i="50"/>
  <c r="O29" i="50"/>
  <c r="O31" i="50"/>
  <c r="O33" i="50"/>
  <c r="W56" i="50"/>
  <c r="S56" i="50"/>
  <c r="O56" i="50"/>
  <c r="W55" i="50"/>
  <c r="S55" i="50"/>
  <c r="O55" i="50"/>
  <c r="W54" i="50"/>
  <c r="S54" i="50"/>
  <c r="O54" i="50"/>
  <c r="W53" i="50"/>
  <c r="S53" i="50"/>
  <c r="O53" i="50"/>
  <c r="W52" i="50"/>
  <c r="S52" i="50"/>
  <c r="O52" i="50"/>
  <c r="W51" i="50"/>
  <c r="S51" i="50"/>
  <c r="O51" i="50"/>
  <c r="W50" i="50"/>
  <c r="S50" i="50"/>
  <c r="O50" i="50"/>
  <c r="W49" i="50"/>
  <c r="S49" i="50"/>
  <c r="O49" i="50"/>
  <c r="W48" i="50"/>
  <c r="S48" i="50"/>
  <c r="O48" i="50"/>
  <c r="W47" i="50"/>
  <c r="S47" i="50"/>
  <c r="O47" i="50"/>
  <c r="W46" i="50"/>
  <c r="S46" i="50"/>
  <c r="O46" i="50"/>
  <c r="W45" i="50"/>
  <c r="S45" i="50"/>
  <c r="O45" i="50"/>
  <c r="W44" i="50"/>
  <c r="S44" i="50"/>
  <c r="O44" i="50"/>
  <c r="W43" i="50"/>
  <c r="S43" i="50"/>
  <c r="O43" i="50"/>
  <c r="W42" i="50"/>
  <c r="S42" i="50"/>
  <c r="O42" i="50"/>
  <c r="U51" i="50"/>
  <c r="Q51" i="50"/>
  <c r="Q49" i="50"/>
  <c r="U47" i="50"/>
  <c r="Q47" i="50"/>
  <c r="Q45" i="50"/>
  <c r="Q44" i="50"/>
  <c r="Q43" i="50"/>
  <c r="I16" i="11" l="1"/>
  <c r="J16" i="11"/>
  <c r="K16" i="11"/>
  <c r="L8" i="27"/>
  <c r="M8" i="27"/>
  <c r="N8" i="27"/>
  <c r="O8" i="27"/>
  <c r="K8" i="27"/>
  <c r="H10" i="27"/>
  <c r="C10" i="27"/>
  <c r="D8" i="27"/>
  <c r="E8" i="27"/>
  <c r="F8" i="27"/>
  <c r="G8" i="27"/>
  <c r="C8" i="27"/>
  <c r="C26" i="47"/>
  <c r="E15" i="42" l="1"/>
  <c r="F15" i="42"/>
  <c r="I29" i="50" l="1"/>
  <c r="I31" i="50"/>
  <c r="I32" i="50"/>
  <c r="I33" i="50"/>
  <c r="I34" i="50"/>
  <c r="I35" i="50"/>
  <c r="H29" i="50"/>
  <c r="H31" i="50"/>
  <c r="H32" i="50"/>
  <c r="H33" i="50"/>
  <c r="H34" i="50"/>
  <c r="H35" i="50"/>
  <c r="H24" i="50"/>
  <c r="G29" i="50"/>
  <c r="G31" i="50"/>
  <c r="G33" i="50"/>
  <c r="F29" i="50"/>
  <c r="F33" i="50"/>
  <c r="E25" i="50"/>
  <c r="E26" i="50"/>
  <c r="E27" i="50"/>
  <c r="E29" i="50"/>
  <c r="E31" i="50"/>
  <c r="E33" i="50"/>
  <c r="O9" i="27" l="1"/>
  <c r="N9" i="27"/>
  <c r="M9" i="27"/>
  <c r="L9" i="27"/>
  <c r="P7" i="27"/>
  <c r="P6" i="27"/>
  <c r="P5" i="27"/>
  <c r="P4" i="27"/>
  <c r="P3" i="27"/>
  <c r="H5" i="27"/>
  <c r="H6" i="27"/>
  <c r="H7" i="27"/>
  <c r="H4" i="27"/>
  <c r="H3" i="27"/>
  <c r="E34" i="53"/>
  <c r="E37" i="53" s="1"/>
  <c r="G34" i="53"/>
  <c r="G37" i="53" s="1"/>
  <c r="H34" i="53"/>
  <c r="H37" i="53" s="1"/>
  <c r="M17" i="47"/>
  <c r="M18" i="47"/>
  <c r="M19" i="47"/>
  <c r="M20" i="47"/>
  <c r="I20" i="47"/>
  <c r="I19" i="47"/>
  <c r="I18" i="47"/>
  <c r="I16" i="47"/>
  <c r="I17" i="47"/>
  <c r="L17" i="47" s="1"/>
  <c r="K10" i="27" l="1"/>
  <c r="J12" i="27" s="1"/>
  <c r="K9" i="27"/>
  <c r="P9" i="27" s="1"/>
  <c r="P10" i="27" s="1"/>
  <c r="Q12" i="54"/>
  <c r="N12" i="54"/>
  <c r="K12" i="54"/>
  <c r="H12" i="54"/>
  <c r="Q11" i="54"/>
  <c r="N11" i="54"/>
  <c r="Q10" i="54"/>
  <c r="N10" i="54"/>
  <c r="K10" i="54"/>
  <c r="E10" i="54"/>
  <c r="Q8" i="54"/>
  <c r="N8" i="54"/>
  <c r="C18" i="53"/>
  <c r="D18" i="53"/>
  <c r="F18" i="53"/>
  <c r="G18" i="53"/>
  <c r="H18" i="53"/>
  <c r="E16" i="53"/>
  <c r="O28" i="44"/>
  <c r="O29" i="44"/>
  <c r="P29" i="44" s="1"/>
  <c r="O30" i="44"/>
  <c r="O31" i="44"/>
  <c r="P31" i="44" s="1"/>
  <c r="O32" i="44"/>
  <c r="P32" i="44" s="1"/>
  <c r="O33" i="44"/>
  <c r="P33" i="44" s="1"/>
  <c r="O34" i="44"/>
  <c r="O35" i="44"/>
  <c r="P35" i="44" s="1"/>
  <c r="O36" i="44"/>
  <c r="P36" i="44" s="1"/>
  <c r="O37" i="44"/>
  <c r="O38" i="44"/>
  <c r="P38" i="44" s="1"/>
  <c r="O39" i="44"/>
  <c r="P39" i="44" s="1"/>
  <c r="O40" i="44"/>
  <c r="P40" i="44" s="1"/>
  <c r="O41" i="44"/>
  <c r="P41" i="44" s="1"/>
  <c r="O42" i="44"/>
  <c r="P42" i="44" s="1"/>
  <c r="O43" i="44"/>
  <c r="P43" i="44" s="1"/>
  <c r="O44" i="44"/>
  <c r="P44" i="44" s="1"/>
  <c r="O45" i="44"/>
  <c r="O46" i="44"/>
  <c r="P46" i="44" s="1"/>
  <c r="O47" i="44"/>
  <c r="P47" i="44" s="1"/>
  <c r="O48" i="44"/>
  <c r="P48" i="44" s="1"/>
  <c r="O49" i="44"/>
  <c r="P49" i="44" s="1"/>
  <c r="O50" i="44"/>
  <c r="P50" i="44" s="1"/>
  <c r="O51" i="44"/>
  <c r="P51" i="44" s="1"/>
  <c r="O52" i="44"/>
  <c r="P52" i="44" s="1"/>
  <c r="O53" i="44"/>
  <c r="P53" i="44" s="1"/>
  <c r="O54" i="44"/>
  <c r="P54" i="44" s="1"/>
  <c r="O55" i="44"/>
  <c r="O56" i="44"/>
  <c r="P56" i="44" s="1"/>
  <c r="O57" i="44"/>
  <c r="P57" i="44" s="1"/>
  <c r="O58" i="44"/>
  <c r="P58" i="44" s="1"/>
  <c r="O59" i="44"/>
  <c r="O60" i="44"/>
  <c r="P60" i="44" s="1"/>
  <c r="O61" i="44"/>
  <c r="P61" i="44" s="1"/>
  <c r="O62" i="44"/>
  <c r="P62" i="44" s="1"/>
  <c r="O63" i="44"/>
  <c r="P63" i="44" s="1"/>
  <c r="O64" i="44"/>
  <c r="P64" i="44" s="1"/>
  <c r="O65" i="44"/>
  <c r="P65" i="44" s="1"/>
  <c r="O66" i="44"/>
  <c r="P66" i="44" s="1"/>
  <c r="O67" i="44"/>
  <c r="O68" i="44"/>
  <c r="O69" i="44"/>
  <c r="P69" i="44" s="1"/>
  <c r="O70" i="44"/>
  <c r="O71" i="44"/>
  <c r="P71" i="44" s="1"/>
  <c r="O72" i="44"/>
  <c r="P72" i="44" s="1"/>
  <c r="O73" i="44"/>
  <c r="P73" i="44" s="1"/>
  <c r="O74" i="44"/>
  <c r="P74" i="44" s="1"/>
  <c r="O75" i="44"/>
  <c r="O76" i="44"/>
  <c r="P76" i="44" s="1"/>
  <c r="O77" i="44"/>
  <c r="P77" i="44" s="1"/>
  <c r="O78" i="44"/>
  <c r="P78" i="44" s="1"/>
  <c r="O79" i="44"/>
  <c r="P79" i="44" s="1"/>
  <c r="O80" i="44"/>
  <c r="P80" i="44" s="1"/>
  <c r="O81" i="44"/>
  <c r="P81" i="44" s="1"/>
  <c r="O82" i="44"/>
  <c r="P82" i="44" s="1"/>
  <c r="O83" i="44"/>
  <c r="P83" i="44" s="1"/>
  <c r="O84" i="44"/>
  <c r="P84" i="44" s="1"/>
  <c r="O85" i="44"/>
  <c r="P85" i="44" s="1"/>
  <c r="O86" i="44"/>
  <c r="P86" i="44" s="1"/>
  <c r="O87" i="44"/>
  <c r="P87" i="44" s="1"/>
  <c r="O88" i="44"/>
  <c r="P88" i="44" s="1"/>
  <c r="O89" i="44"/>
  <c r="P89" i="44" s="1"/>
  <c r="O90" i="44"/>
  <c r="P90" i="44" s="1"/>
  <c r="O91" i="44"/>
  <c r="P91" i="44" s="1"/>
  <c r="O92" i="44"/>
  <c r="P92" i="44" s="1"/>
  <c r="O93" i="44"/>
  <c r="P93" i="44" s="1"/>
  <c r="O94" i="44"/>
  <c r="O95" i="44"/>
  <c r="P95" i="44" s="1"/>
  <c r="O96" i="44"/>
  <c r="P96" i="44" s="1"/>
  <c r="O97" i="44"/>
  <c r="P97" i="44" s="1"/>
  <c r="O98" i="44"/>
  <c r="P98" i="44" s="1"/>
  <c r="O99" i="44"/>
  <c r="P99" i="44" s="1"/>
  <c r="O100" i="44"/>
  <c r="O101" i="44"/>
  <c r="O102" i="44"/>
  <c r="P102" i="44" s="1"/>
  <c r="O103" i="44"/>
  <c r="P103" i="44" s="1"/>
  <c r="O104" i="44"/>
  <c r="P104" i="44" s="1"/>
  <c r="O105" i="44"/>
  <c r="P105" i="44" s="1"/>
  <c r="O106" i="44"/>
  <c r="P106" i="44" s="1"/>
  <c r="O107" i="44"/>
  <c r="P107" i="44" s="1"/>
  <c r="O108" i="44"/>
  <c r="O109" i="44"/>
  <c r="O110" i="44"/>
  <c r="P110" i="44" s="1"/>
  <c r="O111" i="44"/>
  <c r="P111" i="44" s="1"/>
  <c r="O112" i="44"/>
  <c r="P112" i="44" s="1"/>
  <c r="O113" i="44"/>
  <c r="P113" i="44" s="1"/>
  <c r="O114" i="44"/>
  <c r="O115" i="44"/>
  <c r="P115" i="44" s="1"/>
  <c r="O116" i="44"/>
  <c r="P116" i="44" s="1"/>
  <c r="O117" i="44"/>
  <c r="P117" i="44" s="1"/>
  <c r="O118" i="44"/>
  <c r="O119" i="44"/>
  <c r="P119" i="44" s="1"/>
  <c r="O120" i="44"/>
  <c r="P120" i="44" s="1"/>
  <c r="O121" i="44"/>
  <c r="P121" i="44" s="1"/>
  <c r="O122" i="44"/>
  <c r="P122" i="44" s="1"/>
  <c r="O123" i="44"/>
  <c r="P123" i="44" s="1"/>
  <c r="O124" i="44"/>
  <c r="O125" i="44"/>
  <c r="P125" i="44" s="1"/>
  <c r="O126" i="44"/>
  <c r="O127" i="44"/>
  <c r="P127" i="44" s="1"/>
  <c r="O128" i="44"/>
  <c r="P128" i="44" s="1"/>
  <c r="O129" i="44"/>
  <c r="P129" i="44" s="1"/>
  <c r="O130" i="44"/>
  <c r="P130" i="44" s="1"/>
  <c r="O131" i="44"/>
  <c r="O132" i="44"/>
  <c r="P132" i="44" s="1"/>
  <c r="O133" i="44"/>
  <c r="P133" i="44" s="1"/>
  <c r="O134" i="44"/>
  <c r="P134" i="44" s="1"/>
  <c r="O135" i="44"/>
  <c r="P135" i="44" s="1"/>
  <c r="O136" i="44"/>
  <c r="P136" i="44" s="1"/>
  <c r="O137" i="44"/>
  <c r="P137" i="44" s="1"/>
  <c r="O138" i="44"/>
  <c r="P138" i="44" s="1"/>
  <c r="O139" i="44"/>
  <c r="P139" i="44" s="1"/>
  <c r="O140" i="44"/>
  <c r="P140" i="44" s="1"/>
  <c r="O141" i="44"/>
  <c r="P141" i="44" s="1"/>
  <c r="O142" i="44"/>
  <c r="P142" i="44" s="1"/>
  <c r="O143" i="44"/>
  <c r="O144" i="44"/>
  <c r="P144" i="44" s="1"/>
  <c r="O145" i="44"/>
  <c r="O146" i="44"/>
  <c r="P146" i="44" s="1"/>
  <c r="O147" i="44"/>
  <c r="P147" i="44" s="1"/>
  <c r="O148" i="44"/>
  <c r="P148" i="44" s="1"/>
  <c r="O149" i="44"/>
  <c r="P149" i="44" s="1"/>
  <c r="O150" i="44"/>
  <c r="P150" i="44" s="1"/>
  <c r="O151" i="44"/>
  <c r="P151" i="44" s="1"/>
  <c r="O152" i="44"/>
  <c r="P152" i="44" s="1"/>
  <c r="O153" i="44"/>
  <c r="O154" i="44"/>
  <c r="P154" i="44" s="1"/>
  <c r="O155" i="44"/>
  <c r="O156" i="44"/>
  <c r="P156" i="44" s="1"/>
  <c r="O157" i="44"/>
  <c r="P157" i="44" s="1"/>
  <c r="O158" i="44"/>
  <c r="P158" i="44" s="1"/>
  <c r="O159" i="44"/>
  <c r="P159" i="44" s="1"/>
  <c r="O160" i="44"/>
  <c r="P160" i="44" s="1"/>
  <c r="O161" i="44"/>
  <c r="P161" i="44" s="1"/>
  <c r="O162" i="44"/>
  <c r="P162" i="44" s="1"/>
  <c r="O163" i="44"/>
  <c r="O164" i="44"/>
  <c r="O165" i="44"/>
  <c r="O166" i="44"/>
  <c r="O167" i="44"/>
  <c r="P167" i="44" s="1"/>
  <c r="O168" i="44"/>
  <c r="O169" i="44"/>
  <c r="P169" i="44" s="1"/>
  <c r="O170" i="44"/>
  <c r="P170" i="44" s="1"/>
  <c r="O171" i="44"/>
  <c r="P171" i="44" s="1"/>
  <c r="O172" i="44"/>
  <c r="O173" i="44"/>
  <c r="P173" i="44" s="1"/>
  <c r="O174" i="44"/>
  <c r="P174" i="44" s="1"/>
  <c r="O175" i="44"/>
  <c r="P175" i="44" s="1"/>
  <c r="O176" i="44"/>
  <c r="O177" i="44"/>
  <c r="P177" i="44" s="1"/>
  <c r="O178" i="44"/>
  <c r="O179" i="44"/>
  <c r="P179" i="44" s="1"/>
  <c r="O180" i="44"/>
  <c r="P180" i="44" s="1"/>
  <c r="O181" i="44"/>
  <c r="P181" i="44" s="1"/>
  <c r="O182" i="44"/>
  <c r="P182" i="44" s="1"/>
  <c r="O183" i="44"/>
  <c r="P183" i="44" s="1"/>
  <c r="O184" i="44"/>
  <c r="O185" i="44"/>
  <c r="P185" i="44" s="1"/>
  <c r="O186" i="44"/>
  <c r="O187" i="44"/>
  <c r="P187" i="44" s="1"/>
  <c r="O188" i="44"/>
  <c r="P188" i="44" s="1"/>
  <c r="O189" i="44"/>
  <c r="P189" i="44" s="1"/>
  <c r="O190" i="44"/>
  <c r="P190" i="44" s="1"/>
  <c r="O191" i="44"/>
  <c r="P191" i="44" s="1"/>
  <c r="O192" i="44"/>
  <c r="P192" i="44" s="1"/>
  <c r="O193" i="44"/>
  <c r="O194" i="44"/>
  <c r="P194" i="44" s="1"/>
  <c r="O195" i="44"/>
  <c r="P195" i="44" s="1"/>
  <c r="O196" i="44"/>
  <c r="P196" i="44" s="1"/>
  <c r="O197" i="44"/>
  <c r="P197" i="44" s="1"/>
  <c r="O198" i="44"/>
  <c r="P198" i="44" s="1"/>
  <c r="O199" i="44"/>
  <c r="P199" i="44" s="1"/>
  <c r="O200" i="44"/>
  <c r="P200" i="44" s="1"/>
  <c r="O201" i="44"/>
  <c r="O202" i="44"/>
  <c r="O203" i="44"/>
  <c r="P203" i="44" s="1"/>
  <c r="O204" i="44"/>
  <c r="P204" i="44" s="1"/>
  <c r="O205" i="44"/>
  <c r="P205" i="44" s="1"/>
  <c r="O206" i="44"/>
  <c r="O207" i="44"/>
  <c r="O208" i="44"/>
  <c r="O209" i="44"/>
  <c r="O210" i="44"/>
  <c r="P210" i="44" s="1"/>
  <c r="O211" i="44"/>
  <c r="P211" i="44" s="1"/>
  <c r="O212" i="44"/>
  <c r="P212" i="44" s="1"/>
  <c r="O213" i="44"/>
  <c r="P213" i="44" s="1"/>
  <c r="O214" i="44"/>
  <c r="O215" i="44"/>
  <c r="P215" i="44" s="1"/>
  <c r="O216" i="44"/>
  <c r="O217" i="44"/>
  <c r="P217" i="44" s="1"/>
  <c r="O218" i="44"/>
  <c r="P218" i="44" s="1"/>
  <c r="O219" i="44"/>
  <c r="P219" i="44" s="1"/>
  <c r="O220" i="44"/>
  <c r="P220" i="44" s="1"/>
  <c r="O221" i="44"/>
  <c r="O222" i="44"/>
  <c r="O223" i="44"/>
  <c r="P223" i="44" s="1"/>
  <c r="O224" i="44"/>
  <c r="P224" i="44" s="1"/>
  <c r="O225" i="44"/>
  <c r="P225" i="44" s="1"/>
  <c r="O226" i="44"/>
  <c r="P226" i="44" s="1"/>
  <c r="O227" i="44"/>
  <c r="O228" i="44"/>
  <c r="O229" i="44"/>
  <c r="P229" i="44" s="1"/>
  <c r="O230" i="44"/>
  <c r="P230" i="44" s="1"/>
  <c r="O231" i="44"/>
  <c r="O232" i="44"/>
  <c r="O233" i="44"/>
  <c r="O234" i="44"/>
  <c r="O235" i="44"/>
  <c r="O236" i="44"/>
  <c r="P236" i="44" s="1"/>
  <c r="O237" i="44"/>
  <c r="O238" i="44"/>
  <c r="P238" i="44" s="1"/>
  <c r="O239" i="44"/>
  <c r="O240" i="44"/>
  <c r="P240" i="44" s="1"/>
  <c r="O241" i="44"/>
  <c r="O242" i="44"/>
  <c r="O243" i="44"/>
  <c r="O244" i="44"/>
  <c r="O245" i="44"/>
  <c r="P245" i="44" s="1"/>
  <c r="O246" i="44"/>
  <c r="O247" i="44"/>
  <c r="P247" i="44" s="1"/>
  <c r="O248" i="44"/>
  <c r="O249" i="44"/>
  <c r="P249" i="44" s="1"/>
  <c r="O250" i="44"/>
  <c r="P250" i="44" s="1"/>
  <c r="O251" i="44"/>
  <c r="O252" i="44"/>
  <c r="P252" i="44" s="1"/>
  <c r="O253" i="44"/>
  <c r="P253" i="44" s="1"/>
  <c r="O254" i="44"/>
  <c r="O255" i="44"/>
  <c r="O256" i="44"/>
  <c r="O257" i="44"/>
  <c r="P257" i="44" s="1"/>
  <c r="O258" i="44"/>
  <c r="O259" i="44"/>
  <c r="P259" i="44" s="1"/>
  <c r="O260" i="44"/>
  <c r="O261" i="44"/>
  <c r="P261" i="44" s="1"/>
  <c r="O262" i="44"/>
  <c r="O263" i="44"/>
  <c r="O264" i="44"/>
  <c r="O265" i="44"/>
  <c r="P265" i="44" s="1"/>
  <c r="O266" i="44"/>
  <c r="O267" i="44"/>
  <c r="O268" i="44"/>
  <c r="P268" i="44" s="1"/>
  <c r="O269" i="44"/>
  <c r="P269" i="44" s="1"/>
  <c r="O270" i="44"/>
  <c r="O271" i="44"/>
  <c r="O272" i="44"/>
  <c r="O273" i="44"/>
  <c r="O274" i="44"/>
  <c r="P274" i="44" s="1"/>
  <c r="O275" i="44"/>
  <c r="P275" i="44" s="1"/>
  <c r="O276" i="44"/>
  <c r="O277" i="44"/>
  <c r="O278" i="44"/>
  <c r="O279" i="44"/>
  <c r="O280" i="44"/>
  <c r="P280" i="44" s="1"/>
  <c r="O281" i="44"/>
  <c r="O282" i="44"/>
  <c r="O283" i="44"/>
  <c r="O284" i="44"/>
  <c r="P284" i="44" s="1"/>
  <c r="O285" i="44"/>
  <c r="P285" i="44" s="1"/>
  <c r="O286" i="44"/>
  <c r="P286" i="44" s="1"/>
  <c r="O287" i="44"/>
  <c r="O288" i="44"/>
  <c r="O289" i="44"/>
  <c r="O290" i="44"/>
  <c r="O291" i="44"/>
  <c r="O292" i="44"/>
  <c r="P292" i="44" s="1"/>
  <c r="O293" i="44"/>
  <c r="O294" i="44"/>
  <c r="O295" i="44"/>
  <c r="P295" i="44" s="1"/>
  <c r="O296" i="44"/>
  <c r="O297" i="44"/>
  <c r="O298" i="44"/>
  <c r="O299" i="44"/>
  <c r="O300" i="44"/>
  <c r="O301" i="44"/>
  <c r="O302" i="44"/>
  <c r="O303" i="44"/>
  <c r="O304" i="44"/>
  <c r="P304" i="44" s="1"/>
  <c r="O305" i="44"/>
  <c r="O306" i="44"/>
  <c r="O307" i="44"/>
  <c r="O308" i="44"/>
  <c r="O309" i="44"/>
  <c r="P309" i="44" s="1"/>
  <c r="O310" i="44"/>
  <c r="O311" i="44"/>
  <c r="O312" i="44"/>
  <c r="O313" i="44"/>
  <c r="O314" i="44"/>
  <c r="O315" i="44"/>
  <c r="P315" i="44" s="1"/>
  <c r="O316" i="44"/>
  <c r="P316" i="44" s="1"/>
  <c r="O317" i="44"/>
  <c r="O318" i="44"/>
  <c r="O319" i="44"/>
  <c r="O320" i="44"/>
  <c r="O321" i="44"/>
  <c r="O322" i="44"/>
  <c r="O323" i="44"/>
  <c r="P323" i="44" s="1"/>
  <c r="O324" i="44"/>
  <c r="O325" i="44"/>
  <c r="P325" i="44" s="1"/>
  <c r="O326" i="44"/>
  <c r="P326" i="44" s="1"/>
  <c r="O327" i="44"/>
  <c r="P327" i="44" s="1"/>
  <c r="O328" i="44"/>
  <c r="O329" i="44"/>
  <c r="O330" i="44"/>
  <c r="O331" i="44"/>
  <c r="O332" i="44"/>
  <c r="O333" i="44"/>
  <c r="P333" i="44" s="1"/>
  <c r="O334" i="44"/>
  <c r="P334" i="44" s="1"/>
  <c r="O335" i="44"/>
  <c r="O336" i="44"/>
  <c r="O337" i="44"/>
  <c r="P337" i="44" s="1"/>
  <c r="O338" i="44"/>
  <c r="P338" i="44" s="1"/>
  <c r="O339" i="44"/>
  <c r="O340" i="44"/>
  <c r="O341" i="44"/>
  <c r="O342" i="44"/>
  <c r="O343" i="44"/>
  <c r="P343" i="44" s="1"/>
  <c r="O344" i="44"/>
  <c r="O345" i="44"/>
  <c r="O346" i="44"/>
  <c r="O347" i="44"/>
  <c r="O348" i="44"/>
  <c r="O349" i="44"/>
  <c r="O350" i="44"/>
  <c r="O351" i="44"/>
  <c r="P351" i="44" s="1"/>
  <c r="O352" i="44"/>
  <c r="O353" i="44"/>
  <c r="O354" i="44"/>
  <c r="O355" i="44"/>
  <c r="O356" i="44"/>
  <c r="O357" i="44"/>
  <c r="O358" i="44"/>
  <c r="O359" i="44"/>
  <c r="O360" i="44"/>
  <c r="P360" i="44" s="1"/>
  <c r="O361" i="44"/>
  <c r="P361" i="44" s="1"/>
  <c r="O362" i="44"/>
  <c r="O363" i="44"/>
  <c r="O364" i="44"/>
  <c r="O365" i="44"/>
  <c r="O366" i="44"/>
  <c r="O367" i="44"/>
  <c r="O368" i="44"/>
  <c r="O369" i="44"/>
  <c r="P369" i="44" s="1"/>
  <c r="O370" i="44"/>
  <c r="P370" i="44" s="1"/>
  <c r="O371" i="44"/>
  <c r="O372" i="44"/>
  <c r="P372" i="44" s="1"/>
  <c r="O373" i="44"/>
  <c r="O374" i="44"/>
  <c r="O375" i="44"/>
  <c r="O376" i="44"/>
  <c r="O377" i="44"/>
  <c r="P377" i="44" s="1"/>
  <c r="O378" i="44"/>
  <c r="P378" i="44" s="1"/>
  <c r="O379" i="44"/>
  <c r="P379" i="44" s="1"/>
  <c r="O380" i="44"/>
  <c r="O381" i="44"/>
  <c r="O382" i="44"/>
  <c r="P382" i="44" s="1"/>
  <c r="O383" i="44"/>
  <c r="O384" i="44"/>
  <c r="P384" i="44" s="1"/>
  <c r="O385" i="44"/>
  <c r="O386" i="44"/>
  <c r="O387" i="44"/>
  <c r="O388" i="44"/>
  <c r="O389" i="44"/>
  <c r="O390" i="44"/>
  <c r="O391" i="44"/>
  <c r="O392" i="44"/>
  <c r="O393" i="44"/>
  <c r="O394" i="44"/>
  <c r="O395" i="44"/>
  <c r="O396" i="44"/>
  <c r="O397" i="44"/>
  <c r="O398" i="44"/>
  <c r="O399" i="44"/>
  <c r="O400" i="44"/>
  <c r="P400" i="44" s="1"/>
  <c r="O401" i="44"/>
  <c r="O402" i="44"/>
  <c r="O403" i="44"/>
  <c r="P403" i="44" s="1"/>
  <c r="O404" i="44"/>
  <c r="O405" i="44"/>
  <c r="O406" i="44"/>
  <c r="O407" i="44"/>
  <c r="P407" i="44" s="1"/>
  <c r="O408" i="44"/>
  <c r="O409" i="44"/>
  <c r="O410" i="44"/>
  <c r="O411" i="44"/>
  <c r="O27" i="44"/>
  <c r="P27" i="44" s="1"/>
  <c r="Q909" i="42"/>
  <c r="Q908" i="42"/>
  <c r="Q907" i="42"/>
  <c r="Q906" i="42"/>
  <c r="Q905" i="42"/>
  <c r="Q904" i="42"/>
  <c r="Q903" i="42"/>
  <c r="Q902" i="42"/>
  <c r="Q901" i="42"/>
  <c r="Q900" i="42"/>
  <c r="Q899" i="42"/>
  <c r="Q898" i="42"/>
  <c r="Q897" i="42"/>
  <c r="Q896" i="42"/>
  <c r="Q895" i="42"/>
  <c r="Q894" i="42"/>
  <c r="Q893" i="42"/>
  <c r="Q892" i="42"/>
  <c r="Q891" i="42"/>
  <c r="O890" i="42"/>
  <c r="Q890" i="42" s="1"/>
  <c r="Q889" i="42"/>
  <c r="Q888" i="42"/>
  <c r="Q887" i="42"/>
  <c r="Q886" i="42"/>
  <c r="Q885" i="42"/>
  <c r="Q884" i="42"/>
  <c r="Q882" i="42"/>
  <c r="Q881" i="42"/>
  <c r="Q880" i="42"/>
  <c r="Q879" i="42"/>
  <c r="O878" i="42"/>
  <c r="Q878" i="42" s="1"/>
  <c r="Q877" i="42"/>
  <c r="Q876" i="42"/>
  <c r="Q875" i="42"/>
  <c r="O874" i="42"/>
  <c r="Q874" i="42" s="1"/>
  <c r="Q873" i="42"/>
  <c r="Q872" i="42"/>
  <c r="O871" i="42"/>
  <c r="Q871" i="42" s="1"/>
  <c r="Q870" i="42"/>
  <c r="Q869" i="42"/>
  <c r="Q868" i="42"/>
  <c r="Q866" i="42"/>
  <c r="Q865" i="42"/>
  <c r="Q864" i="42"/>
  <c r="Q863" i="42"/>
  <c r="Q862" i="42"/>
  <c r="Q861" i="42"/>
  <c r="Q860" i="42"/>
  <c r="Q859" i="42"/>
  <c r="Q858" i="42"/>
  <c r="Q857" i="42"/>
  <c r="Q856" i="42"/>
  <c r="Q855" i="42"/>
  <c r="Q854" i="42"/>
  <c r="Q853" i="42"/>
  <c r="Q852" i="42"/>
  <c r="Q851" i="42"/>
  <c r="Q849" i="42"/>
  <c r="Q848" i="42"/>
  <c r="Q847" i="42"/>
  <c r="Q846" i="42"/>
  <c r="Q845" i="42"/>
  <c r="Q844" i="42"/>
  <c r="Q843" i="42"/>
  <c r="Q842" i="42"/>
  <c r="Q841" i="42"/>
  <c r="Q840" i="42"/>
  <c r="Q839" i="42"/>
  <c r="Q838" i="42"/>
  <c r="Q837" i="42"/>
  <c r="Q836" i="42"/>
  <c r="Q835" i="42"/>
  <c r="Q834" i="42"/>
  <c r="Q833" i="42"/>
  <c r="Q832" i="42"/>
  <c r="Q831" i="42"/>
  <c r="Q830" i="42"/>
  <c r="Q829" i="42"/>
  <c r="Q828" i="42"/>
  <c r="Q827" i="42"/>
  <c r="O826" i="42"/>
  <c r="Q826" i="42" s="1"/>
  <c r="Q825" i="42"/>
  <c r="O824" i="42"/>
  <c r="Q824" i="42" s="1"/>
  <c r="Q823" i="42"/>
  <c r="Q822" i="42"/>
  <c r="Q821" i="42"/>
  <c r="Q820" i="42"/>
  <c r="Q819" i="42"/>
  <c r="Q818" i="42"/>
  <c r="Q817" i="42"/>
  <c r="Q816" i="42"/>
  <c r="Q815" i="42"/>
  <c r="Q814" i="42"/>
  <c r="Q813" i="42"/>
  <c r="Q812" i="42"/>
  <c r="Q811" i="42"/>
  <c r="Q810" i="42"/>
  <c r="O809" i="42"/>
  <c r="Q809" i="42" s="1"/>
  <c r="Q808" i="42"/>
  <c r="Q807" i="42"/>
  <c r="Q806" i="42"/>
  <c r="O805" i="42"/>
  <c r="Q805" i="42" s="1"/>
  <c r="Q804" i="42"/>
  <c r="Q803" i="42"/>
  <c r="Q802" i="42"/>
  <c r="Q801" i="42"/>
  <c r="Q800" i="42"/>
  <c r="Q799" i="42"/>
  <c r="Q798" i="42"/>
  <c r="Q797" i="42"/>
  <c r="Q796" i="42"/>
  <c r="Q795" i="42"/>
  <c r="O794" i="42"/>
  <c r="Q794" i="42" s="1"/>
  <c r="Q793" i="42"/>
  <c r="Q792" i="42"/>
  <c r="Q791" i="42"/>
  <c r="Q790" i="42"/>
  <c r="Q789" i="42"/>
  <c r="O788" i="42"/>
  <c r="Q788" i="42" s="1"/>
  <c r="Q787" i="42"/>
  <c r="Q786" i="42"/>
  <c r="Q785" i="42"/>
  <c r="O784" i="42"/>
  <c r="Q784" i="42" s="1"/>
  <c r="Q783" i="42"/>
  <c r="O782" i="42"/>
  <c r="Q782" i="42" s="1"/>
  <c r="O781" i="42"/>
  <c r="Q781" i="42" s="1"/>
  <c r="Q780" i="42"/>
  <c r="Q779" i="42"/>
  <c r="Q778" i="42"/>
  <c r="Q777" i="42"/>
  <c r="Q776" i="42"/>
  <c r="Q775" i="42"/>
  <c r="Q774" i="42"/>
  <c r="Q773" i="42"/>
  <c r="O772" i="42"/>
  <c r="Q772" i="42" s="1"/>
  <c r="Q771" i="42"/>
  <c r="Q770" i="42"/>
  <c r="Q769" i="42"/>
  <c r="Q768" i="42"/>
  <c r="Q767" i="42"/>
  <c r="Q766" i="42"/>
  <c r="O765" i="42"/>
  <c r="Q765" i="42" s="1"/>
  <c r="Q764" i="42"/>
  <c r="Q763" i="42"/>
  <c r="Q762" i="42"/>
  <c r="Q761" i="42"/>
  <c r="O760" i="42"/>
  <c r="Q760" i="42" s="1"/>
  <c r="O759" i="42"/>
  <c r="Q759" i="42" s="1"/>
  <c r="O758" i="42"/>
  <c r="Q758" i="42" s="1"/>
  <c r="Q757" i="42"/>
  <c r="Q756" i="42"/>
  <c r="O755" i="42"/>
  <c r="Q755" i="42" s="1"/>
  <c r="Q754" i="42"/>
  <c r="Q753" i="42"/>
  <c r="Q752" i="42"/>
  <c r="Q751" i="42"/>
  <c r="Q750" i="42"/>
  <c r="Q749" i="42"/>
  <c r="Q748" i="42"/>
  <c r="Q747" i="42"/>
  <c r="O746" i="42"/>
  <c r="Q746" i="42" s="1"/>
  <c r="Q745" i="42"/>
  <c r="O744" i="42"/>
  <c r="Q744" i="42" s="1"/>
  <c r="Q743" i="42"/>
  <c r="O742" i="42"/>
  <c r="Q742" i="42" s="1"/>
  <c r="Q741" i="42"/>
  <c r="Q740" i="42"/>
  <c r="O739" i="42"/>
  <c r="Q739" i="42" s="1"/>
  <c r="Q738" i="42"/>
  <c r="Q737" i="42"/>
  <c r="Q736" i="42"/>
  <c r="O735" i="42"/>
  <c r="Q735" i="42" s="1"/>
  <c r="Q734" i="42"/>
  <c r="Q733" i="42"/>
  <c r="Q732" i="42"/>
  <c r="Q731" i="42"/>
  <c r="Q730" i="42"/>
  <c r="Q729" i="42"/>
  <c r="O728" i="42"/>
  <c r="Q728" i="42" s="1"/>
  <c r="Q727" i="42"/>
  <c r="Q726" i="42"/>
  <c r="Q725" i="42"/>
  <c r="Q724" i="42"/>
  <c r="O723" i="42"/>
  <c r="Q723" i="42" s="1"/>
  <c r="Q722" i="42"/>
  <c r="O721" i="42"/>
  <c r="Q721" i="42" s="1"/>
  <c r="Q720" i="42"/>
  <c r="Q719" i="42"/>
  <c r="O718" i="42"/>
  <c r="Q718" i="42" s="1"/>
  <c r="Q717" i="42"/>
  <c r="O716" i="42"/>
  <c r="Q716" i="42" s="1"/>
  <c r="Q715" i="42"/>
  <c r="Q714" i="42"/>
  <c r="O713" i="42"/>
  <c r="Q713" i="42" s="1"/>
  <c r="Q712" i="42"/>
  <c r="Q711" i="42"/>
  <c r="Q710" i="42"/>
  <c r="O709" i="42"/>
  <c r="Q709" i="42" s="1"/>
  <c r="O708" i="42"/>
  <c r="Q708" i="42" s="1"/>
  <c r="Q707" i="42"/>
  <c r="Q706" i="42"/>
  <c r="O705" i="42"/>
  <c r="Q705" i="42" s="1"/>
  <c r="Q704" i="42"/>
  <c r="Q703" i="42"/>
  <c r="Q702" i="42"/>
  <c r="O701" i="42"/>
  <c r="Q701" i="42" s="1"/>
  <c r="Q700" i="42"/>
  <c r="Q699" i="42"/>
  <c r="Q698" i="42"/>
  <c r="Q697" i="42"/>
  <c r="Q696" i="42"/>
  <c r="Q695" i="42"/>
  <c r="O694" i="42"/>
  <c r="Q694" i="42" s="1"/>
  <c r="Q693" i="42"/>
  <c r="Q692" i="42"/>
  <c r="Q691" i="42"/>
  <c r="Q690" i="42"/>
  <c r="Q689" i="42"/>
  <c r="Q688" i="42"/>
  <c r="Q687" i="42"/>
  <c r="Q686" i="42"/>
  <c r="O685" i="42"/>
  <c r="Q685" i="42" s="1"/>
  <c r="Q684" i="42"/>
  <c r="Q683" i="42"/>
  <c r="Q682" i="42"/>
  <c r="Q681" i="42"/>
  <c r="Q680" i="42"/>
  <c r="O679" i="42"/>
  <c r="Q679" i="42" s="1"/>
  <c r="Q678" i="42"/>
  <c r="O677" i="42"/>
  <c r="Q677" i="42" s="1"/>
  <c r="O676" i="42"/>
  <c r="Q676" i="42" s="1"/>
  <c r="Q675" i="42"/>
  <c r="Q674" i="42"/>
  <c r="Q673" i="42"/>
  <c r="Q672" i="42"/>
  <c r="O671" i="42"/>
  <c r="Q671" i="42" s="1"/>
  <c r="Q670" i="42"/>
  <c r="Q669" i="42"/>
  <c r="O668" i="42"/>
  <c r="Q668" i="42" s="1"/>
  <c r="O667" i="42"/>
  <c r="Q667" i="42" s="1"/>
  <c r="O666" i="42"/>
  <c r="Q666" i="42" s="1"/>
  <c r="O665" i="42"/>
  <c r="Q665" i="42" s="1"/>
  <c r="Q664" i="42"/>
  <c r="Q663" i="42"/>
  <c r="Q662" i="42"/>
  <c r="Q661" i="42"/>
  <c r="Q660" i="42"/>
  <c r="Q659" i="42"/>
  <c r="Q658" i="42"/>
  <c r="Q657" i="42"/>
  <c r="Q656" i="42"/>
  <c r="Q655" i="42"/>
  <c r="Q654" i="42"/>
  <c r="O653" i="42"/>
  <c r="Q653" i="42" s="1"/>
  <c r="Q652" i="42"/>
  <c r="Q651" i="42"/>
  <c r="Q650" i="42"/>
  <c r="Q649" i="42"/>
  <c r="Q648" i="42"/>
  <c r="Q647" i="42"/>
  <c r="Q646" i="42"/>
  <c r="Q645" i="42"/>
  <c r="O644" i="42"/>
  <c r="Q644" i="42" s="1"/>
  <c r="Q643" i="42"/>
  <c r="Q642" i="42"/>
  <c r="O641" i="42"/>
  <c r="Q641" i="42" s="1"/>
  <c r="Q640" i="42"/>
  <c r="Q639" i="42"/>
  <c r="Q638" i="42"/>
  <c r="O637" i="42"/>
  <c r="Q637" i="42" s="1"/>
  <c r="Q636" i="42"/>
  <c r="Q635" i="42"/>
  <c r="Q634" i="42"/>
  <c r="Q633" i="42"/>
  <c r="Q632" i="42"/>
  <c r="O631" i="42"/>
  <c r="Q631" i="42" s="1"/>
  <c r="Q630" i="42"/>
  <c r="Q629" i="42"/>
  <c r="O628" i="42"/>
  <c r="Q628" i="42" s="1"/>
  <c r="O627" i="42"/>
  <c r="Q627" i="42" s="1"/>
  <c r="Q626" i="42"/>
  <c r="Q625" i="42"/>
  <c r="Q624" i="42"/>
  <c r="O623" i="42"/>
  <c r="Q623" i="42" s="1"/>
  <c r="Q622" i="42"/>
  <c r="Q621" i="42"/>
  <c r="Q620" i="42"/>
  <c r="Q619" i="42"/>
  <c r="Q618" i="42"/>
  <c r="Q617" i="42"/>
  <c r="O616" i="42"/>
  <c r="Q616" i="42" s="1"/>
  <c r="O615" i="42"/>
  <c r="Q615" i="42" s="1"/>
  <c r="Q614" i="42"/>
  <c r="Q613" i="42"/>
  <c r="Q612" i="42"/>
  <c r="Q611" i="42"/>
  <c r="O610" i="42"/>
  <c r="Q610" i="42" s="1"/>
  <c r="O609" i="42"/>
  <c r="Q609" i="42" s="1"/>
  <c r="Q608" i="42"/>
  <c r="Q607" i="42"/>
  <c r="O606" i="42"/>
  <c r="Q606" i="42" s="1"/>
  <c r="Q605" i="42"/>
  <c r="O604" i="42"/>
  <c r="Q604" i="42" s="1"/>
  <c r="Q603" i="42"/>
  <c r="Q602" i="42"/>
  <c r="Q601" i="42"/>
  <c r="Q600" i="42"/>
  <c r="Q599" i="42"/>
  <c r="Q598" i="42"/>
  <c r="Q597" i="42"/>
  <c r="Q596" i="42"/>
  <c r="Q595" i="42"/>
  <c r="Q594" i="42"/>
  <c r="Q593" i="42"/>
  <c r="O592" i="42"/>
  <c r="Q592" i="42" s="1"/>
  <c r="Q591" i="42"/>
  <c r="Q590" i="42"/>
  <c r="Q589" i="42"/>
  <c r="Q588" i="42"/>
  <c r="Q587" i="42"/>
  <c r="Q586" i="42"/>
  <c r="Q585" i="42"/>
  <c r="Q584" i="42"/>
  <c r="Q583" i="42"/>
  <c r="Q582" i="42"/>
  <c r="Q581" i="42"/>
  <c r="Q580" i="42"/>
  <c r="O579" i="42"/>
  <c r="Q579" i="42" s="1"/>
  <c r="Q578" i="42"/>
  <c r="Q577" i="42"/>
  <c r="O576" i="42"/>
  <c r="Q576" i="42" s="1"/>
  <c r="Q575" i="42"/>
  <c r="Q574" i="42"/>
  <c r="Q573" i="42"/>
  <c r="O572" i="42"/>
  <c r="Q572" i="42" s="1"/>
  <c r="Q571" i="42"/>
  <c r="O570" i="42"/>
  <c r="Q570" i="42" s="1"/>
  <c r="Q569" i="42"/>
  <c r="O568" i="42"/>
  <c r="Q568" i="42" s="1"/>
  <c r="O567" i="42"/>
  <c r="Q567" i="42" s="1"/>
  <c r="O566" i="42"/>
  <c r="Q566" i="42" s="1"/>
  <c r="Q565" i="42"/>
  <c r="Q564" i="42"/>
  <c r="Q563" i="42"/>
  <c r="Q562" i="42"/>
  <c r="Q561" i="42"/>
  <c r="Q560" i="42"/>
  <c r="Q559" i="42"/>
  <c r="Q558" i="42"/>
  <c r="O557" i="42"/>
  <c r="Q557" i="42" s="1"/>
  <c r="O556" i="42"/>
  <c r="Q556" i="42" s="1"/>
  <c r="Q555" i="42"/>
  <c r="Q554" i="42"/>
  <c r="Q553" i="42"/>
  <c r="Q552" i="42"/>
  <c r="Q551" i="42"/>
  <c r="Q550" i="42"/>
  <c r="O549" i="42"/>
  <c r="Q549" i="42" s="1"/>
  <c r="Q548" i="42"/>
  <c r="Q547" i="42"/>
  <c r="Q546" i="42"/>
  <c r="Q545" i="42"/>
  <c r="O544" i="42"/>
  <c r="Q544" i="42" s="1"/>
  <c r="O543" i="42"/>
  <c r="Q543" i="42" s="1"/>
  <c r="Q542" i="42"/>
  <c r="Q541" i="42"/>
  <c r="Q540" i="42"/>
  <c r="O539" i="42"/>
  <c r="Q539" i="42" s="1"/>
  <c r="O538" i="42"/>
  <c r="Q538" i="42" s="1"/>
  <c r="Q537" i="42"/>
  <c r="Q536" i="42"/>
  <c r="Q535" i="42"/>
  <c r="O534" i="42"/>
  <c r="Q534" i="42" s="1"/>
  <c r="Q533" i="42"/>
  <c r="Q532" i="42"/>
  <c r="O531" i="42"/>
  <c r="Q531" i="42" s="1"/>
  <c r="Q530" i="42"/>
  <c r="O529" i="42"/>
  <c r="Q529" i="42" s="1"/>
  <c r="Q528" i="42"/>
  <c r="Q527" i="42"/>
  <c r="Q526" i="42"/>
  <c r="Q525" i="42"/>
  <c r="Q524" i="42"/>
  <c r="O523" i="42"/>
  <c r="Q523" i="42" s="1"/>
  <c r="O522" i="42"/>
  <c r="Q522" i="42" s="1"/>
  <c r="Q521" i="42"/>
  <c r="Q520" i="42"/>
  <c r="Q519" i="42"/>
  <c r="Q518" i="42"/>
  <c r="Q517" i="42"/>
  <c r="Q516" i="42"/>
  <c r="Q515" i="42"/>
  <c r="O514" i="42"/>
  <c r="Q514" i="42" s="1"/>
  <c r="Q513" i="42"/>
  <c r="Q512" i="42"/>
  <c r="Q511" i="42"/>
  <c r="Q510" i="42"/>
  <c r="Q509" i="42"/>
  <c r="O508" i="42"/>
  <c r="Q508" i="42" s="1"/>
  <c r="Q507" i="42"/>
  <c r="O506" i="42"/>
  <c r="Q506" i="42" s="1"/>
  <c r="O505" i="42"/>
  <c r="Q505" i="42" s="1"/>
  <c r="O504" i="42"/>
  <c r="Q504" i="42" s="1"/>
  <c r="Q503" i="42"/>
  <c r="Q502" i="42"/>
  <c r="O501" i="42"/>
  <c r="Q501" i="42" s="1"/>
  <c r="O500" i="42"/>
  <c r="Q500" i="42" s="1"/>
  <c r="Q499" i="42"/>
  <c r="Q498" i="42"/>
  <c r="O497" i="42"/>
  <c r="Q497" i="42" s="1"/>
  <c r="O496" i="42"/>
  <c r="Q496" i="42" s="1"/>
  <c r="Q495" i="42"/>
  <c r="Q494" i="42"/>
  <c r="Q493" i="42"/>
  <c r="Q492" i="42"/>
  <c r="Q491" i="42"/>
  <c r="Q490" i="42"/>
  <c r="Q489" i="42"/>
  <c r="Q488" i="42"/>
  <c r="O487" i="42"/>
  <c r="Q487" i="42" s="1"/>
  <c r="O486" i="42"/>
  <c r="Q486" i="42" s="1"/>
  <c r="Q485" i="42"/>
  <c r="Q483" i="42"/>
  <c r="O482" i="42"/>
  <c r="Q482" i="42" s="1"/>
  <c r="Q481" i="42"/>
  <c r="Q480" i="42"/>
  <c r="Q479" i="42"/>
  <c r="Q478" i="42"/>
  <c r="Q477" i="42"/>
  <c r="Q476" i="42"/>
  <c r="Q475" i="42"/>
  <c r="O474" i="42"/>
  <c r="Q474" i="42" s="1"/>
  <c r="Q473" i="42"/>
  <c r="O472" i="42"/>
  <c r="Q472" i="42" s="1"/>
  <c r="Q471" i="42"/>
  <c r="Q470" i="42"/>
  <c r="Q469" i="42"/>
  <c r="Q468" i="42"/>
  <c r="Q467" i="42"/>
  <c r="Q466" i="42"/>
  <c r="O465" i="42"/>
  <c r="Q465" i="42" s="1"/>
  <c r="O464" i="42"/>
  <c r="Q464" i="42" s="1"/>
  <c r="Q463" i="42"/>
  <c r="Q462" i="42"/>
  <c r="Q461" i="42"/>
  <c r="Q460" i="42"/>
  <c r="Q459" i="42"/>
  <c r="Q458" i="42"/>
  <c r="Q457" i="42"/>
  <c r="Q456" i="42"/>
  <c r="Q455" i="42"/>
  <c r="O454" i="42"/>
  <c r="Q454" i="42" s="1"/>
  <c r="O453" i="42"/>
  <c r="Q453" i="42" s="1"/>
  <c r="Q452" i="42"/>
  <c r="O451" i="42"/>
  <c r="Q451" i="42" s="1"/>
  <c r="Q450" i="42"/>
  <c r="Q449" i="42"/>
  <c r="Q448" i="42"/>
  <c r="Q447" i="42"/>
  <c r="O446" i="42"/>
  <c r="Q446" i="42" s="1"/>
  <c r="O445" i="42"/>
  <c r="Q445" i="42" s="1"/>
  <c r="O444" i="42"/>
  <c r="Q444" i="42" s="1"/>
  <c r="Q443" i="42"/>
  <c r="Q442" i="42"/>
  <c r="Q441" i="42"/>
  <c r="O440" i="42"/>
  <c r="Q440" i="42" s="1"/>
  <c r="Q439" i="42"/>
  <c r="O438" i="42"/>
  <c r="Q438" i="42" s="1"/>
  <c r="Q437" i="42"/>
  <c r="Q436" i="42"/>
  <c r="Q435" i="42"/>
  <c r="O434" i="42"/>
  <c r="Q434" i="42" s="1"/>
  <c r="Q433" i="42"/>
  <c r="Q432" i="42"/>
  <c r="O431" i="42"/>
  <c r="Q431" i="42" s="1"/>
  <c r="Q430" i="42"/>
  <c r="Q429" i="42"/>
  <c r="O428" i="42"/>
  <c r="Q428" i="42" s="1"/>
  <c r="Q427" i="42"/>
  <c r="Q426" i="42"/>
  <c r="Q425" i="42"/>
  <c r="Q424" i="42"/>
  <c r="Q423" i="42"/>
  <c r="Q422" i="42"/>
  <c r="Q421" i="42"/>
  <c r="O420" i="42"/>
  <c r="Q420" i="42" s="1"/>
  <c r="O419" i="42"/>
  <c r="Q419" i="42" s="1"/>
  <c r="Q418" i="42"/>
  <c r="O417" i="42"/>
  <c r="Q417" i="42" s="1"/>
  <c r="O416" i="42"/>
  <c r="Q416" i="42" s="1"/>
  <c r="Q415" i="42"/>
  <c r="O414" i="42"/>
  <c r="Q414" i="42" s="1"/>
  <c r="Q413" i="42"/>
  <c r="Q412" i="42"/>
  <c r="Q411" i="42"/>
  <c r="O410" i="42"/>
  <c r="Q410" i="42" s="1"/>
  <c r="Q409" i="42"/>
  <c r="O408" i="42"/>
  <c r="Q408" i="42" s="1"/>
  <c r="Q407" i="42"/>
  <c r="Q406" i="42"/>
  <c r="Q405" i="42"/>
  <c r="Q404" i="42"/>
  <c r="O403" i="42"/>
  <c r="Q403" i="42" s="1"/>
  <c r="Q402" i="42"/>
  <c r="Q401" i="42"/>
  <c r="Q400" i="42"/>
  <c r="O399" i="42"/>
  <c r="Q399" i="42" s="1"/>
  <c r="O398" i="42"/>
  <c r="Q398" i="42" s="1"/>
  <c r="Q397" i="42"/>
  <c r="O396" i="42"/>
  <c r="Q396" i="42" s="1"/>
  <c r="Q395" i="42"/>
  <c r="Q394" i="42"/>
  <c r="O393" i="42"/>
  <c r="Q393" i="42" s="1"/>
  <c r="O392" i="42"/>
  <c r="Q392" i="42" s="1"/>
  <c r="O391" i="42"/>
  <c r="Q391" i="42" s="1"/>
  <c r="Q390" i="42"/>
  <c r="Q389" i="42"/>
  <c r="Q388" i="42"/>
  <c r="Q387" i="42"/>
  <c r="Q386" i="42"/>
  <c r="Q385" i="42"/>
  <c r="Q384" i="42"/>
  <c r="O383" i="42"/>
  <c r="Q383" i="42" s="1"/>
  <c r="Q382" i="42"/>
  <c r="Q381" i="42"/>
  <c r="Q380" i="42"/>
  <c r="Q379" i="42"/>
  <c r="O378" i="42"/>
  <c r="Q378" i="42" s="1"/>
  <c r="Q377" i="42"/>
  <c r="Q376" i="42"/>
  <c r="Q375" i="42"/>
  <c r="O374" i="42"/>
  <c r="Q374" i="42" s="1"/>
  <c r="O373" i="42"/>
  <c r="Q373" i="42" s="1"/>
  <c r="O372" i="42"/>
  <c r="Q372" i="42" s="1"/>
  <c r="Q371" i="42"/>
  <c r="Q370" i="42"/>
  <c r="Q369" i="42"/>
  <c r="Q368" i="42"/>
  <c r="Q367" i="42"/>
  <c r="Q366" i="42"/>
  <c r="Q365" i="42"/>
  <c r="Q364" i="42"/>
  <c r="O363" i="42"/>
  <c r="Q363" i="42" s="1"/>
  <c r="O362" i="42"/>
  <c r="Q362" i="42" s="1"/>
  <c r="Q361" i="42"/>
  <c r="O360" i="42"/>
  <c r="Q360" i="42" s="1"/>
  <c r="Q359" i="42"/>
  <c r="Q358" i="42"/>
  <c r="Q357" i="42"/>
  <c r="Q356" i="42"/>
  <c r="Q355" i="42"/>
  <c r="Q354" i="42"/>
  <c r="O353" i="42"/>
  <c r="Q353" i="42" s="1"/>
  <c r="Q352" i="42"/>
  <c r="Q351" i="42"/>
  <c r="O350" i="42"/>
  <c r="Q350" i="42" s="1"/>
  <c r="O349" i="42"/>
  <c r="Q349" i="42" s="1"/>
  <c r="Q348" i="42"/>
  <c r="Q347" i="42"/>
  <c r="Q346" i="42"/>
  <c r="Q345" i="42"/>
  <c r="Q344" i="42"/>
  <c r="Q343" i="42"/>
  <c r="Q342" i="42"/>
  <c r="O341" i="42"/>
  <c r="Q341" i="42" s="1"/>
  <c r="Q340" i="42"/>
  <c r="Q339" i="42"/>
  <c r="Q338" i="42"/>
  <c r="O337" i="42"/>
  <c r="Q337" i="42" s="1"/>
  <c r="Q336" i="42"/>
  <c r="Q335" i="42"/>
  <c r="Q334" i="42"/>
  <c r="Q333" i="42"/>
  <c r="Q332" i="42"/>
  <c r="Q331" i="42"/>
  <c r="Q330" i="42"/>
  <c r="O329" i="42"/>
  <c r="Q329" i="42" s="1"/>
  <c r="Q328" i="42"/>
  <c r="Q327" i="42"/>
  <c r="O326" i="42"/>
  <c r="Q326" i="42" s="1"/>
  <c r="Q325" i="42"/>
  <c r="Q324" i="42"/>
  <c r="Q323" i="42"/>
  <c r="Q322" i="42"/>
  <c r="Q321" i="42"/>
  <c r="Q320" i="42"/>
  <c r="Q319" i="42"/>
  <c r="O318" i="42"/>
  <c r="Q318" i="42" s="1"/>
  <c r="Q317" i="42"/>
  <c r="Q316" i="42"/>
  <c r="O315" i="42"/>
  <c r="Q315" i="42" s="1"/>
  <c r="Q314" i="42"/>
  <c r="Q313" i="42"/>
  <c r="Q312" i="42"/>
  <c r="Q311" i="42"/>
  <c r="Q310" i="42"/>
  <c r="O309" i="42"/>
  <c r="Q309" i="42" s="1"/>
  <c r="O308" i="42"/>
  <c r="Q308" i="42" s="1"/>
  <c r="O307" i="42"/>
  <c r="Q307" i="42" s="1"/>
  <c r="Q306" i="42"/>
  <c r="Q305" i="42"/>
  <c r="Q304" i="42"/>
  <c r="Q303" i="42"/>
  <c r="Q302" i="42"/>
  <c r="O301" i="42"/>
  <c r="Q301" i="42" s="1"/>
  <c r="Q300" i="42"/>
  <c r="Q299" i="42"/>
  <c r="O298" i="42"/>
  <c r="Q298" i="42" s="1"/>
  <c r="Q297" i="42"/>
  <c r="O296" i="42"/>
  <c r="Q296" i="42" s="1"/>
  <c r="O295" i="42"/>
  <c r="Q295" i="42" s="1"/>
  <c r="Q294" i="42"/>
  <c r="O293" i="42"/>
  <c r="Q293" i="42" s="1"/>
  <c r="Q292" i="42"/>
  <c r="O291" i="42"/>
  <c r="Q291" i="42" s="1"/>
  <c r="Q290" i="42"/>
  <c r="Q289" i="42"/>
  <c r="O288" i="42"/>
  <c r="Q288" i="42" s="1"/>
  <c r="Q287" i="42"/>
  <c r="O286" i="42"/>
  <c r="Q286" i="42" s="1"/>
  <c r="O285" i="42"/>
  <c r="Q285" i="42" s="1"/>
  <c r="Q284" i="42"/>
  <c r="O283" i="42"/>
  <c r="Q283" i="42" s="1"/>
  <c r="O282" i="42"/>
  <c r="Q282" i="42" s="1"/>
  <c r="Q281" i="42"/>
  <c r="Q280" i="42"/>
  <c r="O279" i="42"/>
  <c r="Q279" i="42" s="1"/>
  <c r="O278" i="42"/>
  <c r="Q278" i="42" s="1"/>
  <c r="O277" i="42"/>
  <c r="Q277" i="42" s="1"/>
  <c r="O276" i="42"/>
  <c r="Q276" i="42" s="1"/>
  <c r="O275" i="42"/>
  <c r="Q275" i="42" s="1"/>
  <c r="O274" i="42"/>
  <c r="Q274" i="42" s="1"/>
  <c r="Q273" i="42"/>
  <c r="Q272" i="42"/>
  <c r="Q271" i="42"/>
  <c r="Q270" i="42"/>
  <c r="O269" i="42"/>
  <c r="Q269" i="42" s="1"/>
  <c r="O268" i="42"/>
  <c r="Q268" i="42" s="1"/>
  <c r="O267" i="42"/>
  <c r="Q267" i="42" s="1"/>
  <c r="Q266" i="42"/>
  <c r="Q265" i="42"/>
  <c r="Q264" i="42"/>
  <c r="Q263" i="42"/>
  <c r="Q262" i="42"/>
  <c r="O261" i="42"/>
  <c r="Q261" i="42" s="1"/>
  <c r="Q260" i="42"/>
  <c r="Q259" i="42"/>
  <c r="Q258" i="42"/>
  <c r="Q257" i="42"/>
  <c r="Q256" i="42"/>
  <c r="Q255" i="42"/>
  <c r="Q254" i="42"/>
  <c r="Q253" i="42"/>
  <c r="O252" i="42"/>
  <c r="Q252" i="42" s="1"/>
  <c r="O251" i="42"/>
  <c r="Q251" i="42" s="1"/>
  <c r="Q250" i="42"/>
  <c r="Q249" i="42"/>
  <c r="O248" i="42"/>
  <c r="Q248" i="42" s="1"/>
  <c r="O247" i="42"/>
  <c r="Q247" i="42" s="1"/>
  <c r="O246" i="42"/>
  <c r="Q246" i="42" s="1"/>
  <c r="O245" i="42"/>
  <c r="Q245" i="42" s="1"/>
  <c r="Q244" i="42"/>
  <c r="Q243" i="42"/>
  <c r="Q242" i="42"/>
  <c r="Q241" i="42"/>
  <c r="O240" i="42"/>
  <c r="Q240" i="42" s="1"/>
  <c r="Q239" i="42"/>
  <c r="O238" i="42"/>
  <c r="Q238" i="42" s="1"/>
  <c r="Q237" i="42"/>
  <c r="O236" i="42"/>
  <c r="Q236" i="42" s="1"/>
  <c r="O235" i="42"/>
  <c r="Q235" i="42" s="1"/>
  <c r="O234" i="42"/>
  <c r="Q234" i="42" s="1"/>
  <c r="O233" i="42"/>
  <c r="Q233" i="42" s="1"/>
  <c r="Q232" i="42"/>
  <c r="O231" i="42"/>
  <c r="Q231" i="42" s="1"/>
  <c r="Q230" i="42"/>
  <c r="O229" i="42"/>
  <c r="Q229" i="42" s="1"/>
  <c r="O228" i="42"/>
  <c r="Q228" i="42" s="1"/>
  <c r="Q227" i="42"/>
  <c r="Q226" i="42"/>
  <c r="O225" i="42"/>
  <c r="Q225" i="42" s="1"/>
  <c r="Q224" i="42"/>
  <c r="Q223" i="42"/>
  <c r="Q222" i="42"/>
  <c r="Q221" i="42"/>
  <c r="Q220" i="42"/>
  <c r="Q219" i="42"/>
  <c r="Q218" i="42"/>
  <c r="O217" i="42"/>
  <c r="Q217" i="42" s="1"/>
  <c r="O216" i="42"/>
  <c r="Q216" i="42" s="1"/>
  <c r="O215" i="42"/>
  <c r="Q215" i="42" s="1"/>
  <c r="O214" i="42"/>
  <c r="Q214" i="42" s="1"/>
  <c r="Q213" i="42"/>
  <c r="O212" i="42"/>
  <c r="Q212" i="42" s="1"/>
  <c r="Q211" i="42"/>
  <c r="Q210" i="42"/>
  <c r="Q209" i="42"/>
  <c r="Q208" i="42"/>
  <c r="O207" i="42"/>
  <c r="Q207" i="42" s="1"/>
  <c r="Q206" i="42"/>
  <c r="O205" i="42"/>
  <c r="Q205" i="42" s="1"/>
  <c r="O204" i="42"/>
  <c r="Q204" i="42" s="1"/>
  <c r="O203" i="42"/>
  <c r="Q203" i="42" s="1"/>
  <c r="Q202" i="42"/>
  <c r="O201" i="42"/>
  <c r="Q201" i="42" s="1"/>
  <c r="Q200" i="42"/>
  <c r="O199" i="42"/>
  <c r="Q199" i="42" s="1"/>
  <c r="O198" i="42"/>
  <c r="Q198" i="42" s="1"/>
  <c r="O197" i="42"/>
  <c r="Q197" i="42" s="1"/>
  <c r="O196" i="42"/>
  <c r="Q196" i="42" s="1"/>
  <c r="O195" i="42"/>
  <c r="Q195" i="42" s="1"/>
  <c r="O194" i="42"/>
  <c r="Q194" i="42" s="1"/>
  <c r="O193" i="42"/>
  <c r="Q193" i="42" s="1"/>
  <c r="Q192" i="42"/>
  <c r="Q191" i="42"/>
  <c r="Q190" i="42"/>
  <c r="O189" i="42"/>
  <c r="Q189" i="42" s="1"/>
  <c r="Q188" i="42"/>
  <c r="O187" i="42"/>
  <c r="Q187" i="42" s="1"/>
  <c r="Q186" i="42"/>
  <c r="O185" i="42"/>
  <c r="Q185" i="42" s="1"/>
  <c r="O184" i="42"/>
  <c r="Q184" i="42" s="1"/>
  <c r="O183" i="42"/>
  <c r="Q183" i="42" s="1"/>
  <c r="O182" i="42"/>
  <c r="Q182" i="42" s="1"/>
  <c r="O181" i="42"/>
  <c r="Q181" i="42" s="1"/>
  <c r="O180" i="42"/>
  <c r="Q180" i="42" s="1"/>
  <c r="O179" i="42"/>
  <c r="Q179" i="42" s="1"/>
  <c r="O178" i="42"/>
  <c r="Q178" i="42" s="1"/>
  <c r="Q177" i="42"/>
  <c r="Q176" i="42"/>
  <c r="O175" i="42"/>
  <c r="Q175" i="42" s="1"/>
  <c r="O174" i="42"/>
  <c r="Q174" i="42" s="1"/>
  <c r="Q173" i="42"/>
  <c r="O172" i="42"/>
  <c r="Q172" i="42" s="1"/>
  <c r="O171" i="42"/>
  <c r="Q171" i="42" s="1"/>
  <c r="O170" i="42"/>
  <c r="Q170" i="42" s="1"/>
  <c r="Q169" i="42"/>
  <c r="O168" i="42"/>
  <c r="Q168" i="42" s="1"/>
  <c r="O167" i="42"/>
  <c r="Q167" i="42" s="1"/>
  <c r="O166" i="42"/>
  <c r="Q166" i="42" s="1"/>
  <c r="O165" i="42"/>
  <c r="Q165" i="42" s="1"/>
  <c r="O164" i="42"/>
  <c r="Q164" i="42" s="1"/>
  <c r="O163" i="42"/>
  <c r="Q163" i="42" s="1"/>
  <c r="Q162" i="42"/>
  <c r="O161" i="42"/>
  <c r="Q161" i="42" s="1"/>
  <c r="O160" i="42"/>
  <c r="Q160" i="42" s="1"/>
  <c r="O159" i="42"/>
  <c r="Q159" i="42" s="1"/>
  <c r="O158" i="42"/>
  <c r="Q158" i="42" s="1"/>
  <c r="O157" i="42"/>
  <c r="Q157" i="42" s="1"/>
  <c r="Q156" i="42"/>
  <c r="Q155" i="42"/>
  <c r="O154" i="42"/>
  <c r="Q154" i="42" s="1"/>
  <c r="O153" i="42"/>
  <c r="Q153" i="42" s="1"/>
  <c r="Q152" i="42"/>
  <c r="Q151" i="42"/>
  <c r="O150" i="42"/>
  <c r="Q150" i="42" s="1"/>
  <c r="Q149" i="42"/>
  <c r="O148" i="42"/>
  <c r="Q148" i="42" s="1"/>
  <c r="O147" i="42"/>
  <c r="Q147" i="42" s="1"/>
  <c r="O146" i="42"/>
  <c r="Q146" i="42" s="1"/>
  <c r="O145" i="42"/>
  <c r="Q145" i="42" s="1"/>
  <c r="O144" i="42"/>
  <c r="Q144" i="42" s="1"/>
  <c r="O143" i="42"/>
  <c r="Q143" i="42" s="1"/>
  <c r="O142" i="42"/>
  <c r="Q142" i="42" s="1"/>
  <c r="O141" i="42"/>
  <c r="Q141" i="42" s="1"/>
  <c r="O140" i="42"/>
  <c r="Q140" i="42" s="1"/>
  <c r="O139" i="42"/>
  <c r="Q139" i="42" s="1"/>
  <c r="O138" i="42"/>
  <c r="Q138" i="42" s="1"/>
  <c r="O137" i="42"/>
  <c r="Q137" i="42" s="1"/>
  <c r="Q136" i="42"/>
  <c r="O135" i="42"/>
  <c r="Q135" i="42" s="1"/>
  <c r="O134" i="42"/>
  <c r="Q134" i="42" s="1"/>
  <c r="O133" i="42"/>
  <c r="Q133" i="42" s="1"/>
  <c r="O132" i="42"/>
  <c r="Q132" i="42" s="1"/>
  <c r="O131" i="42"/>
  <c r="Q131" i="42" s="1"/>
  <c r="O130" i="42"/>
  <c r="Q130" i="42" s="1"/>
  <c r="O129" i="42"/>
  <c r="Q129" i="42" s="1"/>
  <c r="O128" i="42"/>
  <c r="Q128" i="42" s="1"/>
  <c r="Q127" i="42"/>
  <c r="O126" i="42"/>
  <c r="Q126" i="42" s="1"/>
  <c r="O125" i="42"/>
  <c r="Q125" i="42" s="1"/>
  <c r="O124" i="42"/>
  <c r="Q124" i="42" s="1"/>
  <c r="O123" i="42"/>
  <c r="Q123" i="42" s="1"/>
  <c r="Q122" i="42"/>
  <c r="O121" i="42"/>
  <c r="Q121" i="42" s="1"/>
  <c r="O120" i="42"/>
  <c r="Q120" i="42" s="1"/>
  <c r="O119" i="42"/>
  <c r="Q119" i="42" s="1"/>
  <c r="O118" i="42"/>
  <c r="Q118" i="42" s="1"/>
  <c r="O117" i="42"/>
  <c r="Q117" i="42" s="1"/>
  <c r="O116" i="42"/>
  <c r="Q116" i="42" s="1"/>
  <c r="Q115" i="42"/>
  <c r="O114" i="42"/>
  <c r="Q114" i="42" s="1"/>
  <c r="O113" i="42"/>
  <c r="Q113" i="42" s="1"/>
  <c r="O112" i="42"/>
  <c r="Q112" i="42" s="1"/>
  <c r="O111" i="42"/>
  <c r="Q111" i="42" s="1"/>
  <c r="O110" i="42"/>
  <c r="Q110" i="42" s="1"/>
  <c r="O109" i="42"/>
  <c r="Q109" i="42" s="1"/>
  <c r="Q108" i="42"/>
  <c r="O107" i="42"/>
  <c r="Q107" i="42" s="1"/>
  <c r="Q106" i="42"/>
  <c r="O105" i="42"/>
  <c r="Q105" i="42" s="1"/>
  <c r="O104" i="42"/>
  <c r="Q104" i="42" s="1"/>
  <c r="O103" i="42"/>
  <c r="Q103" i="42" s="1"/>
  <c r="O102" i="42"/>
  <c r="Q102" i="42" s="1"/>
  <c r="O101" i="42"/>
  <c r="Q101" i="42" s="1"/>
  <c r="O100" i="42"/>
  <c r="Q100" i="42" s="1"/>
  <c r="O99" i="42"/>
  <c r="Q99" i="42" s="1"/>
  <c r="O98" i="42"/>
  <c r="Q98" i="42" s="1"/>
  <c r="O97" i="42"/>
  <c r="Q97" i="42" s="1"/>
  <c r="Q96" i="42"/>
  <c r="O95" i="42"/>
  <c r="Q95" i="42" s="1"/>
  <c r="O94" i="42"/>
  <c r="Q94" i="42" s="1"/>
  <c r="O93" i="42"/>
  <c r="Q93" i="42" s="1"/>
  <c r="O92" i="42"/>
  <c r="Q92" i="42" s="1"/>
  <c r="Q91" i="42"/>
  <c r="O90" i="42"/>
  <c r="Q90" i="42" s="1"/>
  <c r="Q89" i="42"/>
  <c r="O88" i="42"/>
  <c r="Q88" i="42" s="1"/>
  <c r="O87" i="42"/>
  <c r="Q87" i="42" s="1"/>
  <c r="Q86" i="42"/>
  <c r="O85" i="42"/>
  <c r="Q85" i="42" s="1"/>
  <c r="O84" i="42"/>
  <c r="Q84" i="42" s="1"/>
  <c r="O83" i="42"/>
  <c r="Q83" i="42" s="1"/>
  <c r="O82" i="42"/>
  <c r="Q82" i="42" s="1"/>
  <c r="O81" i="42"/>
  <c r="Q81" i="42" s="1"/>
  <c r="O80" i="42"/>
  <c r="Q80" i="42" s="1"/>
  <c r="O79" i="42"/>
  <c r="Q79" i="42" s="1"/>
  <c r="O78" i="42"/>
  <c r="Q78" i="42" s="1"/>
  <c r="O77" i="42"/>
  <c r="Q77" i="42" s="1"/>
  <c r="O76" i="42"/>
  <c r="Q76" i="42" s="1"/>
  <c r="O75" i="42"/>
  <c r="Q75" i="42" s="1"/>
  <c r="Q74" i="42"/>
  <c r="O73" i="42"/>
  <c r="Q73" i="42" s="1"/>
  <c r="O72" i="42"/>
  <c r="Q72" i="42" s="1"/>
  <c r="O71" i="42"/>
  <c r="Q71" i="42" s="1"/>
  <c r="O70" i="42"/>
  <c r="Q70" i="42" s="1"/>
  <c r="O69" i="42"/>
  <c r="Q69" i="42" s="1"/>
  <c r="O68" i="42"/>
  <c r="Q68" i="42" s="1"/>
  <c r="O67" i="42"/>
  <c r="Q67" i="42" s="1"/>
  <c r="O66" i="42"/>
  <c r="Q66" i="42" s="1"/>
  <c r="O65" i="42"/>
  <c r="Q65" i="42" s="1"/>
  <c r="O64" i="42"/>
  <c r="Q64" i="42" s="1"/>
  <c r="O63" i="42"/>
  <c r="Q63" i="42" s="1"/>
  <c r="O62" i="42"/>
  <c r="Q62" i="42" s="1"/>
  <c r="O61" i="42"/>
  <c r="Q61" i="42" s="1"/>
  <c r="O60" i="42"/>
  <c r="Q60" i="42" s="1"/>
  <c r="O59" i="42"/>
  <c r="Q59" i="42" s="1"/>
  <c r="O58" i="42"/>
  <c r="Q58" i="42" s="1"/>
  <c r="Q57" i="42"/>
  <c r="O56" i="42"/>
  <c r="Q56" i="42" s="1"/>
  <c r="O55" i="42"/>
  <c r="Q55" i="42" s="1"/>
  <c r="O54" i="42"/>
  <c r="Q54" i="42" s="1"/>
  <c r="O53" i="42"/>
  <c r="Q53" i="42" s="1"/>
  <c r="Q52" i="42"/>
  <c r="O51" i="42"/>
  <c r="Q51" i="42" s="1"/>
  <c r="O50" i="42"/>
  <c r="Q50" i="42" s="1"/>
  <c r="O49" i="42"/>
  <c r="Q49" i="42" s="1"/>
  <c r="O48" i="42"/>
  <c r="Q48" i="42" s="1"/>
  <c r="O47" i="42"/>
  <c r="Q47" i="42" s="1"/>
  <c r="O46" i="42"/>
  <c r="Q46" i="42" s="1"/>
  <c r="Q45" i="42"/>
  <c r="O44" i="42"/>
  <c r="Q44" i="42" s="1"/>
  <c r="O43" i="42"/>
  <c r="Q43" i="42" s="1"/>
  <c r="O42" i="42"/>
  <c r="Q42" i="42" s="1"/>
  <c r="O41" i="42"/>
  <c r="Q41" i="42" s="1"/>
  <c r="O40" i="42"/>
  <c r="Q40" i="42" s="1"/>
  <c r="O39" i="42"/>
  <c r="Q39" i="42" s="1"/>
  <c r="O38" i="42"/>
  <c r="Q38" i="42" s="1"/>
  <c r="O37" i="42"/>
  <c r="Q37" i="42" s="1"/>
  <c r="O36" i="42"/>
  <c r="Q36" i="42" s="1"/>
  <c r="O35" i="42"/>
  <c r="Q35" i="42" s="1"/>
  <c r="O34" i="42"/>
  <c r="Q34" i="42" s="1"/>
  <c r="O33" i="42"/>
  <c r="Q33" i="42" s="1"/>
  <c r="O32" i="42"/>
  <c r="O31" i="42"/>
  <c r="O29" i="42"/>
  <c r="O28" i="42"/>
  <c r="O27" i="42"/>
  <c r="P24" i="42"/>
  <c r="H24" i="53"/>
  <c r="H27" i="53"/>
  <c r="H30" i="53"/>
  <c r="G24" i="53"/>
  <c r="G27" i="53"/>
  <c r="G30" i="53"/>
  <c r="F24" i="53"/>
  <c r="F30" i="53"/>
  <c r="E6" i="53"/>
  <c r="E9" i="53"/>
  <c r="E24" i="53"/>
  <c r="E27" i="53"/>
  <c r="E30" i="53"/>
  <c r="D30" i="53"/>
  <c r="C24" i="53"/>
  <c r="E3" i="53"/>
  <c r="G3" i="53"/>
  <c r="F6" i="52"/>
  <c r="E5" i="52"/>
  <c r="C8" i="52" s="1"/>
  <c r="P25" i="44" l="1"/>
  <c r="K15" i="47"/>
  <c r="K10" i="47"/>
  <c r="K14" i="47"/>
  <c r="K6" i="47"/>
  <c r="K12" i="47"/>
  <c r="K13" i="47"/>
  <c r="K5" i="47"/>
  <c r="K20" i="47"/>
  <c r="E22" i="53"/>
  <c r="E40" i="53"/>
  <c r="Q24" i="42"/>
  <c r="O24" i="42" s="1"/>
  <c r="K14" i="51" l="1"/>
  <c r="K13" i="51"/>
  <c r="J12" i="51"/>
  <c r="J11" i="51" s="1"/>
  <c r="J15" i="51" s="1"/>
  <c r="I12" i="51"/>
  <c r="K12" i="51" s="1"/>
  <c r="K11" i="51" s="1"/>
  <c r="K10" i="51"/>
  <c r="J8" i="51"/>
  <c r="I8" i="51"/>
  <c r="K7" i="51"/>
  <c r="C7" i="51"/>
  <c r="K6" i="51"/>
  <c r="C6" i="51"/>
  <c r="K5" i="51"/>
  <c r="K8" i="51" s="1"/>
  <c r="C5" i="51"/>
  <c r="E4" i="51"/>
  <c r="C5" i="52" s="1"/>
  <c r="D8" i="52" s="1"/>
  <c r="E8" i="52" s="1"/>
  <c r="F8" i="52" s="1"/>
  <c r="D18" i="50" s="1"/>
  <c r="D4" i="51"/>
  <c r="D5" i="52" s="1"/>
  <c r="K15" i="51" l="1"/>
  <c r="I11" i="51"/>
  <c r="I15" i="51" s="1"/>
  <c r="M16" i="47" l="1"/>
  <c r="I9" i="11" l="1"/>
  <c r="I7" i="11"/>
  <c r="C9" i="11"/>
  <c r="D9" i="11"/>
  <c r="F9" i="11"/>
  <c r="G9" i="11"/>
  <c r="H9" i="11"/>
  <c r="J9" i="11"/>
  <c r="K9" i="11"/>
  <c r="E13" i="11"/>
  <c r="E33" i="53" s="1"/>
  <c r="E35" i="53" s="1"/>
  <c r="G13" i="11"/>
  <c r="H13" i="11"/>
  <c r="J13" i="11"/>
  <c r="K13" i="11"/>
  <c r="B8" i="11"/>
  <c r="H33" i="53" l="1"/>
  <c r="Q13" i="54"/>
  <c r="N13" i="54"/>
  <c r="G33" i="53"/>
  <c r="E8" i="11"/>
  <c r="B8" i="54"/>
  <c r="B18" i="53"/>
  <c r="G14" i="11"/>
  <c r="K14" i="11"/>
  <c r="J14" i="11"/>
  <c r="H14" i="11"/>
  <c r="B9" i="11"/>
  <c r="G36" i="53" l="1"/>
  <c r="N14" i="54"/>
  <c r="Q14" i="54"/>
  <c r="H36" i="53"/>
  <c r="E9" i="11"/>
  <c r="E14" i="11" s="1"/>
  <c r="E36" i="53" s="1"/>
  <c r="E18" i="53"/>
  <c r="F13" i="47"/>
  <c r="I7" i="47"/>
  <c r="F8" i="47" l="1"/>
  <c r="I8" i="47" s="1"/>
  <c r="L8" i="47" s="1"/>
  <c r="C27" i="47" s="1"/>
  <c r="B31" i="53" s="1"/>
  <c r="C65" i="39"/>
  <c r="F11" i="47" s="1"/>
  <c r="C12" i="54" l="1"/>
  <c r="G7" i="37"/>
  <c r="C54" i="39" l="1"/>
  <c r="C53" i="39"/>
  <c r="I5" i="47" l="1"/>
  <c r="C47" i="39"/>
  <c r="G5" i="46" l="1"/>
  <c r="G6" i="46"/>
  <c r="G7" i="46"/>
  <c r="G2" i="46"/>
  <c r="C5" i="44"/>
  <c r="C5" i="43"/>
  <c r="L3" i="41" l="1"/>
  <c r="I10" i="44"/>
  <c r="G10" i="44"/>
  <c r="B17" i="37" l="1"/>
  <c r="D15" i="37" l="1"/>
  <c r="G25" i="42" l="1"/>
  <c r="C68" i="35"/>
  <c r="C59" i="35"/>
  <c r="C56" i="35"/>
  <c r="C53" i="35"/>
  <c r="C49" i="35"/>
  <c r="C41" i="35"/>
  <c r="C34" i="35"/>
  <c r="C29" i="35"/>
  <c r="C26" i="35"/>
  <c r="C21" i="35"/>
  <c r="C17" i="35"/>
  <c r="C14" i="35"/>
  <c r="C9" i="35"/>
  <c r="C4" i="35"/>
  <c r="B68" i="35"/>
  <c r="B59" i="35"/>
  <c r="B56" i="35"/>
  <c r="B53" i="35"/>
  <c r="B49" i="35"/>
  <c r="B41" i="35"/>
  <c r="B63" i="35" s="1"/>
  <c r="B34" i="35"/>
  <c r="B29" i="35"/>
  <c r="B26" i="35"/>
  <c r="B21" i="35"/>
  <c r="B17" i="35"/>
  <c r="B14" i="35"/>
  <c r="B9" i="35"/>
  <c r="C5" i="42" s="1"/>
  <c r="B4" i="35"/>
  <c r="B33" i="35" s="1"/>
  <c r="B40" i="35" s="1"/>
  <c r="B64" i="35" s="1"/>
  <c r="B66" i="35" s="1"/>
  <c r="B70" i="35" s="1"/>
  <c r="C33" i="35" l="1"/>
  <c r="C40" i="35" s="1"/>
  <c r="C64" i="35" s="1"/>
  <c r="C66" i="35" s="1"/>
  <c r="C70" i="35" s="1"/>
  <c r="C63" i="35"/>
  <c r="F15" i="47"/>
  <c r="F14" i="47"/>
  <c r="D28" i="39" l="1"/>
  <c r="G3" i="46" s="1"/>
  <c r="C68" i="39" l="1"/>
  <c r="F12" i="47" s="1"/>
  <c r="C64" i="39"/>
  <c r="F10" i="47" s="1"/>
  <c r="I68" i="39"/>
  <c r="G4" i="44" l="1"/>
  <c r="G26" i="44"/>
  <c r="H26" i="44" l="1"/>
  <c r="I26" i="44"/>
  <c r="J26" i="44"/>
  <c r="K26" i="44"/>
  <c r="O25" i="44" s="1"/>
  <c r="L26" i="44"/>
  <c r="C3" i="11"/>
  <c r="F18" i="44" l="1"/>
  <c r="F21" i="44" s="1"/>
  <c r="F16" i="44"/>
  <c r="B19" i="53" s="1"/>
  <c r="F17" i="44"/>
  <c r="C7" i="11"/>
  <c r="E3" i="54"/>
  <c r="C3" i="53"/>
  <c r="C4" i="53" s="1"/>
  <c r="J25" i="44"/>
  <c r="D18" i="44" s="1"/>
  <c r="I25" i="44"/>
  <c r="D20" i="44" s="1"/>
  <c r="L25" i="44"/>
  <c r="D16" i="44" s="1"/>
  <c r="K25" i="44"/>
  <c r="D17" i="44" s="1"/>
  <c r="G25" i="44"/>
  <c r="F14" i="44" s="1"/>
  <c r="G14" i="44" s="1"/>
  <c r="E7" i="54" l="1"/>
  <c r="E9" i="54" s="1"/>
  <c r="C15" i="53"/>
  <c r="C21" i="53" s="1"/>
  <c r="B20" i="53"/>
  <c r="C8" i="54"/>
  <c r="D8" i="54" s="1"/>
  <c r="D29" i="50" s="1"/>
  <c r="C5" i="53"/>
  <c r="F3" i="54"/>
  <c r="C16" i="53"/>
  <c r="E17" i="44"/>
  <c r="E20" i="44"/>
  <c r="D21" i="44"/>
  <c r="E18" i="44"/>
  <c r="D47" i="50" l="1"/>
  <c r="M29" i="50"/>
  <c r="M47" i="50" s="1"/>
  <c r="C17" i="53"/>
  <c r="C22" i="53"/>
  <c r="E21" i="44"/>
  <c r="F7" i="54"/>
  <c r="G7" i="54" s="1"/>
  <c r="E28" i="50" s="1"/>
  <c r="G3" i="54"/>
  <c r="E24" i="50" s="1"/>
  <c r="F3" i="47"/>
  <c r="M4" i="47"/>
  <c r="M5" i="47"/>
  <c r="M6" i="47"/>
  <c r="M7" i="47"/>
  <c r="M8" i="47"/>
  <c r="M9" i="47"/>
  <c r="M10" i="47"/>
  <c r="M11" i="47"/>
  <c r="M12" i="47"/>
  <c r="M13" i="47"/>
  <c r="M14" i="47"/>
  <c r="M15" i="47"/>
  <c r="M3" i="47"/>
  <c r="I10" i="47"/>
  <c r="I11" i="47"/>
  <c r="I12" i="47"/>
  <c r="L12" i="47" s="1"/>
  <c r="I13" i="47"/>
  <c r="L13" i="47" s="1"/>
  <c r="I14" i="47"/>
  <c r="L14" i="47" s="1"/>
  <c r="I15" i="47"/>
  <c r="L15" i="47" s="1"/>
  <c r="E42" i="50" l="1"/>
  <c r="O24" i="50"/>
  <c r="Q42" i="50" s="1"/>
  <c r="E46" i="50"/>
  <c r="O28" i="50"/>
  <c r="Q46" i="50" s="1"/>
  <c r="C23" i="53"/>
  <c r="F9" i="54"/>
  <c r="G9" i="54" s="1"/>
  <c r="E30" i="50" s="1"/>
  <c r="L10" i="47"/>
  <c r="G27" i="47" s="1"/>
  <c r="F28" i="53" s="1"/>
  <c r="F34" i="53" s="1"/>
  <c r="G25" i="47"/>
  <c r="F11" i="11" s="1"/>
  <c r="I3" i="47"/>
  <c r="I4" i="47"/>
  <c r="F25" i="47" s="1"/>
  <c r="J7" i="46"/>
  <c r="E15" i="46" s="1"/>
  <c r="F15" i="46" s="1"/>
  <c r="L7" i="46"/>
  <c r="L6" i="46"/>
  <c r="L5" i="46"/>
  <c r="L3" i="46"/>
  <c r="L4" i="46"/>
  <c r="J3" i="46"/>
  <c r="E11" i="46" s="1"/>
  <c r="F11" i="46" s="1"/>
  <c r="M2" i="46"/>
  <c r="L2" i="46"/>
  <c r="J6" i="46"/>
  <c r="E14" i="46" s="1"/>
  <c r="F14" i="46" s="1"/>
  <c r="J5" i="46"/>
  <c r="E13" i="46" s="1"/>
  <c r="F13" i="46" s="1"/>
  <c r="J2" i="46"/>
  <c r="E10" i="46" s="1"/>
  <c r="F10" i="46" s="1"/>
  <c r="E48" i="50" l="1"/>
  <c r="O30" i="50"/>
  <c r="Q48" i="50" s="1"/>
  <c r="F37" i="53"/>
  <c r="L14" i="54" s="1"/>
  <c r="L13" i="54"/>
  <c r="L11" i="54"/>
  <c r="L3" i="47"/>
  <c r="D11" i="11"/>
  <c r="H11" i="54" s="1"/>
  <c r="L4" i="47"/>
  <c r="F27" i="47" s="1"/>
  <c r="D28" i="53" s="1"/>
  <c r="F13" i="11"/>
  <c r="F27" i="53"/>
  <c r="F29" i="53" s="1"/>
  <c r="K11" i="54"/>
  <c r="I24" i="47"/>
  <c r="C10" i="40"/>
  <c r="C5" i="40"/>
  <c r="C8" i="40"/>
  <c r="C16" i="40" s="1"/>
  <c r="C6" i="40"/>
  <c r="C4" i="40"/>
  <c r="C14" i="40" s="1"/>
  <c r="M11" i="54" l="1"/>
  <c r="G32" i="50" s="1"/>
  <c r="I11" i="54"/>
  <c r="J11" i="54" s="1"/>
  <c r="F32" i="50" s="1"/>
  <c r="D27" i="53"/>
  <c r="D29" i="53" s="1"/>
  <c r="F14" i="11"/>
  <c r="K13" i="54"/>
  <c r="M13" i="54" s="1"/>
  <c r="G34" i="50" s="1"/>
  <c r="F33" i="53"/>
  <c r="F35" i="53" s="1"/>
  <c r="L25" i="42"/>
  <c r="L24" i="42" s="1"/>
  <c r="D16" i="42" s="1"/>
  <c r="J5" i="42" s="1"/>
  <c r="K25" i="42"/>
  <c r="J25" i="42"/>
  <c r="I25" i="42"/>
  <c r="H25" i="42"/>
  <c r="F4" i="43"/>
  <c r="L25" i="43"/>
  <c r="K25" i="43"/>
  <c r="J25" i="43"/>
  <c r="I25" i="43"/>
  <c r="H25" i="43"/>
  <c r="G25" i="43"/>
  <c r="L24" i="43" s="1"/>
  <c r="D17" i="43" s="1"/>
  <c r="F4" i="42"/>
  <c r="F50" i="50" l="1"/>
  <c r="Q32" i="50"/>
  <c r="U50" i="50" s="1"/>
  <c r="G52" i="50"/>
  <c r="S34" i="50"/>
  <c r="G50" i="50"/>
  <c r="S32" i="50"/>
  <c r="K14" i="54"/>
  <c r="M14" i="54" s="1"/>
  <c r="G35" i="50" s="1"/>
  <c r="F36" i="53"/>
  <c r="K24" i="42"/>
  <c r="D15" i="42" s="1"/>
  <c r="G24" i="42"/>
  <c r="G15" i="42" s="1"/>
  <c r="H15" i="42" s="1"/>
  <c r="I24" i="42"/>
  <c r="D18" i="42" s="1"/>
  <c r="J24" i="42"/>
  <c r="D17" i="42" s="1"/>
  <c r="J24" i="43"/>
  <c r="D18" i="43" s="1"/>
  <c r="K24" i="43"/>
  <c r="D16" i="43" s="1"/>
  <c r="G24" i="43"/>
  <c r="G16" i="43" s="1"/>
  <c r="H16" i="43" s="1"/>
  <c r="I24" i="43"/>
  <c r="D19" i="43" s="1"/>
  <c r="G53" i="50" l="1"/>
  <c r="S35" i="50"/>
  <c r="D5" i="42"/>
  <c r="F3" i="41"/>
  <c r="B15" i="37"/>
  <c r="B16" i="37" s="1"/>
  <c r="E3" i="41" s="1"/>
  <c r="E5" i="41" s="1"/>
  <c r="E6" i="48"/>
  <c r="G6" i="48" s="1"/>
  <c r="C10" i="48" s="1"/>
  <c r="E5" i="48"/>
  <c r="E4" i="48"/>
  <c r="E3" i="48"/>
  <c r="D19" i="44"/>
  <c r="I5" i="43"/>
  <c r="G5" i="11" s="1"/>
  <c r="C11" i="39"/>
  <c r="C7" i="40" s="1"/>
  <c r="C15" i="40" s="1"/>
  <c r="E63" i="39"/>
  <c r="F9" i="47" s="1"/>
  <c r="I9" i="47" s="1"/>
  <c r="I6" i="47"/>
  <c r="D29" i="39"/>
  <c r="G4" i="46" s="1"/>
  <c r="J4" i="46" s="1"/>
  <c r="E25" i="47" l="1"/>
  <c r="D25" i="47"/>
  <c r="I21" i="47"/>
  <c r="J8" i="46"/>
  <c r="E12" i="46"/>
  <c r="F12" i="46" s="1"/>
  <c r="F16" i="46" s="1"/>
  <c r="G9" i="53"/>
  <c r="N5" i="54"/>
  <c r="P5" i="54" s="1"/>
  <c r="H26" i="50" s="1"/>
  <c r="E19" i="44"/>
  <c r="L6" i="47"/>
  <c r="C25" i="47"/>
  <c r="J3" i="47"/>
  <c r="K4" i="46"/>
  <c r="K7" i="46"/>
  <c r="K6" i="46"/>
  <c r="K5" i="46"/>
  <c r="K3" i="46"/>
  <c r="K2" i="46"/>
  <c r="C12" i="40"/>
  <c r="D12" i="40" s="1"/>
  <c r="C9" i="48"/>
  <c r="H5" i="43"/>
  <c r="K5" i="11"/>
  <c r="B5" i="37"/>
  <c r="G9" i="44" s="1"/>
  <c r="J5" i="43"/>
  <c r="G5" i="43"/>
  <c r="D5" i="43"/>
  <c r="U26" i="50" l="1"/>
  <c r="I11" i="11"/>
  <c r="B12" i="11"/>
  <c r="B30" i="53"/>
  <c r="B32" i="53" s="1"/>
  <c r="J20" i="47"/>
  <c r="J17" i="47"/>
  <c r="J19" i="47"/>
  <c r="J16" i="47"/>
  <c r="J18" i="47"/>
  <c r="E27" i="47"/>
  <c r="D27" i="47"/>
  <c r="L21" i="47"/>
  <c r="B28" i="53" s="1"/>
  <c r="B25" i="53"/>
  <c r="D25" i="53"/>
  <c r="D34" i="53" s="1"/>
  <c r="G16" i="46"/>
  <c r="B26" i="53" s="1"/>
  <c r="C11" i="11"/>
  <c r="E11" i="54" s="1"/>
  <c r="J6" i="47"/>
  <c r="I12" i="11"/>
  <c r="J5" i="47"/>
  <c r="J14" i="47"/>
  <c r="J13" i="47"/>
  <c r="J7" i="47"/>
  <c r="J9" i="47"/>
  <c r="J4" i="47"/>
  <c r="J15" i="47"/>
  <c r="B11" i="11"/>
  <c r="J12" i="47"/>
  <c r="J11" i="47"/>
  <c r="J10" i="47"/>
  <c r="G26" i="47" s="1"/>
  <c r="J8" i="47"/>
  <c r="J5" i="11"/>
  <c r="H5" i="11"/>
  <c r="D3" i="41"/>
  <c r="I9" i="44"/>
  <c r="J10" i="44" s="1"/>
  <c r="D5" i="44" s="1"/>
  <c r="E6" i="11" s="1"/>
  <c r="C11" i="43"/>
  <c r="B5" i="11" s="1"/>
  <c r="E5" i="43"/>
  <c r="F5" i="43"/>
  <c r="Q5" i="54" l="1"/>
  <c r="S5" i="54" s="1"/>
  <c r="I26" i="50" s="1"/>
  <c r="H9" i="53"/>
  <c r="I10" i="54"/>
  <c r="C10" i="54"/>
  <c r="B5" i="54"/>
  <c r="B9" i="53"/>
  <c r="B34" i="53"/>
  <c r="C11" i="54"/>
  <c r="D37" i="53"/>
  <c r="I14" i="54" s="1"/>
  <c r="I13" i="54"/>
  <c r="C27" i="53"/>
  <c r="C28" i="53"/>
  <c r="F11" i="54" s="1"/>
  <c r="G11" i="54" s="1"/>
  <c r="E32" i="50" s="1"/>
  <c r="B12" i="54"/>
  <c r="D12" i="54" s="1"/>
  <c r="D33" i="50" s="1"/>
  <c r="E12" i="54"/>
  <c r="C30" i="53"/>
  <c r="I13" i="11"/>
  <c r="C13" i="11"/>
  <c r="C33" i="53" s="1"/>
  <c r="B11" i="54"/>
  <c r="B27" i="53"/>
  <c r="B29" i="53" s="1"/>
  <c r="I14" i="11"/>
  <c r="E7" i="11"/>
  <c r="E12" i="53"/>
  <c r="E26" i="47"/>
  <c r="F26" i="47"/>
  <c r="D26" i="47"/>
  <c r="I5" i="44"/>
  <c r="H5" i="44"/>
  <c r="H7" i="44" s="1"/>
  <c r="E5" i="44"/>
  <c r="G3" i="41"/>
  <c r="D5" i="41" s="1"/>
  <c r="B6" i="11"/>
  <c r="C11" i="44"/>
  <c r="B10" i="11"/>
  <c r="D10" i="11"/>
  <c r="K5" i="43"/>
  <c r="F5" i="11" s="1"/>
  <c r="C9" i="43"/>
  <c r="D51" i="50" l="1"/>
  <c r="M33" i="50"/>
  <c r="M51" i="50" s="1"/>
  <c r="E50" i="50"/>
  <c r="O32" i="50"/>
  <c r="Q50" i="50" s="1"/>
  <c r="W26" i="50"/>
  <c r="D11" i="54"/>
  <c r="D32" i="50" s="1"/>
  <c r="F9" i="53"/>
  <c r="K5" i="54"/>
  <c r="M5" i="54" s="1"/>
  <c r="G26" i="50" s="1"/>
  <c r="B12" i="53"/>
  <c r="B6" i="54"/>
  <c r="G6" i="11"/>
  <c r="I7" i="44"/>
  <c r="G13" i="53" s="1"/>
  <c r="O6" i="54" s="1"/>
  <c r="B37" i="53"/>
  <c r="C14" i="54" s="1"/>
  <c r="C13" i="54"/>
  <c r="G5" i="44"/>
  <c r="G7" i="44" s="1"/>
  <c r="E7" i="44"/>
  <c r="D5" i="54"/>
  <c r="D26" i="50" s="1"/>
  <c r="C29" i="53"/>
  <c r="C34" i="53"/>
  <c r="F13" i="54" s="1"/>
  <c r="E13" i="54"/>
  <c r="I15" i="11"/>
  <c r="H10" i="54"/>
  <c r="J10" i="54" s="1"/>
  <c r="F31" i="50" s="1"/>
  <c r="D24" i="53"/>
  <c r="D26" i="53" s="1"/>
  <c r="B13" i="11"/>
  <c r="D10" i="50" s="1"/>
  <c r="B10" i="54"/>
  <c r="D10" i="54" s="1"/>
  <c r="D31" i="50" s="1"/>
  <c r="B24" i="53"/>
  <c r="E15" i="11"/>
  <c r="E39" i="53" s="1"/>
  <c r="E41" i="53" s="1"/>
  <c r="E15" i="53"/>
  <c r="H26" i="47"/>
  <c r="C14" i="11"/>
  <c r="D13" i="11"/>
  <c r="F5" i="44"/>
  <c r="C9" i="44" s="1"/>
  <c r="K5" i="44"/>
  <c r="L5" i="44" s="1"/>
  <c r="D5" i="11"/>
  <c r="F49" i="50" l="1"/>
  <c r="Q31" i="50"/>
  <c r="U49" i="50" s="1"/>
  <c r="D50" i="50"/>
  <c r="M32" i="50"/>
  <c r="M50" i="50" s="1"/>
  <c r="D49" i="50"/>
  <c r="M31" i="50"/>
  <c r="M49" i="50" s="1"/>
  <c r="M26" i="50"/>
  <c r="M44" i="50" s="1"/>
  <c r="S26" i="50"/>
  <c r="H6" i="11"/>
  <c r="K7" i="44"/>
  <c r="H13" i="53" s="1"/>
  <c r="R6" i="54" s="1"/>
  <c r="M5" i="11"/>
  <c r="H5" i="54"/>
  <c r="D9" i="53"/>
  <c r="J9" i="53" s="1"/>
  <c r="O7" i="54"/>
  <c r="D6" i="11"/>
  <c r="D13" i="53"/>
  <c r="G13" i="54"/>
  <c r="E34" i="50" s="1"/>
  <c r="G12" i="53"/>
  <c r="G14" i="53" s="1"/>
  <c r="N6" i="54"/>
  <c r="P6" i="54" s="1"/>
  <c r="H27" i="50" s="1"/>
  <c r="C35" i="53"/>
  <c r="C37" i="53"/>
  <c r="C15" i="11"/>
  <c r="E14" i="54"/>
  <c r="C36" i="53"/>
  <c r="D14" i="11"/>
  <c r="H13" i="54"/>
  <c r="J13" i="54" s="1"/>
  <c r="F34" i="50" s="1"/>
  <c r="D33" i="53"/>
  <c r="D35" i="53" s="1"/>
  <c r="B33" i="53"/>
  <c r="B35" i="53" s="1"/>
  <c r="B13" i="54"/>
  <c r="D13" i="54" s="1"/>
  <c r="D34" i="50" s="1"/>
  <c r="E17" i="53"/>
  <c r="E21" i="53"/>
  <c r="E23" i="53" s="1"/>
  <c r="M13" i="11"/>
  <c r="F10" i="50"/>
  <c r="D11" i="50"/>
  <c r="F11" i="50" s="1"/>
  <c r="J5" i="44"/>
  <c r="D25" i="36"/>
  <c r="D27" i="36"/>
  <c r="E27" i="37"/>
  <c r="C27" i="37"/>
  <c r="D25" i="37"/>
  <c r="B25" i="37"/>
  <c r="D24" i="37"/>
  <c r="B24" i="37"/>
  <c r="D23" i="37"/>
  <c r="B23" i="37"/>
  <c r="D22" i="37"/>
  <c r="B22" i="37"/>
  <c r="D21" i="37"/>
  <c r="B21" i="37"/>
  <c r="D20" i="37"/>
  <c r="B20" i="37"/>
  <c r="D18" i="37"/>
  <c r="B18" i="37"/>
  <c r="D14" i="37"/>
  <c r="D12" i="37" s="1"/>
  <c r="B14" i="37"/>
  <c r="D9" i="37"/>
  <c r="B9" i="37"/>
  <c r="D6" i="37"/>
  <c r="B6" i="37"/>
  <c r="B4" i="37" s="1"/>
  <c r="D29" i="36"/>
  <c r="B29" i="36"/>
  <c r="D28" i="36"/>
  <c r="B28" i="36"/>
  <c r="D24" i="36"/>
  <c r="B24" i="36"/>
  <c r="D23" i="36"/>
  <c r="B23" i="36"/>
  <c r="D22" i="36"/>
  <c r="B22" i="36"/>
  <c r="D21" i="36"/>
  <c r="B21" i="36"/>
  <c r="D19" i="36"/>
  <c r="B19" i="36"/>
  <c r="D18" i="36"/>
  <c r="B18" i="36"/>
  <c r="D16" i="36"/>
  <c r="B16" i="36"/>
  <c r="D15" i="36"/>
  <c r="B15" i="36"/>
  <c r="D13" i="36"/>
  <c r="B13" i="36"/>
  <c r="D12" i="36"/>
  <c r="B12" i="36"/>
  <c r="D11" i="36"/>
  <c r="B11" i="36"/>
  <c r="D8" i="36"/>
  <c r="B8" i="36"/>
  <c r="D7" i="36"/>
  <c r="B7" i="36"/>
  <c r="D6" i="36"/>
  <c r="B6" i="36"/>
  <c r="E5" i="36"/>
  <c r="D5" i="36"/>
  <c r="C5" i="36"/>
  <c r="B5" i="36"/>
  <c r="C114" i="35"/>
  <c r="C118" i="35" s="1"/>
  <c r="B114" i="35"/>
  <c r="B118" i="35" s="1"/>
  <c r="C103" i="35"/>
  <c r="B103" i="35"/>
  <c r="C95" i="35"/>
  <c r="B95" i="35"/>
  <c r="C91" i="35"/>
  <c r="B91" i="35"/>
  <c r="C88" i="35"/>
  <c r="C83" i="35"/>
  <c r="B83" i="35"/>
  <c r="B27" i="36"/>
  <c r="D26" i="36"/>
  <c r="B26" i="36"/>
  <c r="B11" i="37"/>
  <c r="D5" i="37"/>
  <c r="D52" i="50" l="1"/>
  <c r="M34" i="50"/>
  <c r="M52" i="50" s="1"/>
  <c r="H45" i="50"/>
  <c r="U27" i="50"/>
  <c r="F52" i="50"/>
  <c r="Q34" i="50"/>
  <c r="U52" i="50" s="1"/>
  <c r="E52" i="50"/>
  <c r="O34" i="50"/>
  <c r="Q52" i="50" s="1"/>
  <c r="C40" i="53"/>
  <c r="F15" i="54" s="1"/>
  <c r="F14" i="54"/>
  <c r="I6" i="54"/>
  <c r="F6" i="11"/>
  <c r="M6" i="11" s="1"/>
  <c r="J7" i="44"/>
  <c r="F13" i="53" s="1"/>
  <c r="L6" i="54" s="1"/>
  <c r="G14" i="54"/>
  <c r="E35" i="50" s="1"/>
  <c r="D12" i="53"/>
  <c r="D14" i="53" s="1"/>
  <c r="H6" i="54"/>
  <c r="H12" i="53"/>
  <c r="H14" i="53" s="1"/>
  <c r="Q6" i="54"/>
  <c r="S6" i="54" s="1"/>
  <c r="I27" i="50" s="1"/>
  <c r="J5" i="54"/>
  <c r="F26" i="50" s="1"/>
  <c r="E15" i="54"/>
  <c r="G15" i="54" s="1"/>
  <c r="E36" i="50" s="1"/>
  <c r="C39" i="53"/>
  <c r="C41" i="53" s="1"/>
  <c r="J33" i="53"/>
  <c r="U13" i="54"/>
  <c r="H14" i="54"/>
  <c r="J14" i="54" s="1"/>
  <c r="F35" i="50" s="1"/>
  <c r="D36" i="53"/>
  <c r="F3" i="11"/>
  <c r="H3" i="41"/>
  <c r="C8" i="41" s="1"/>
  <c r="D3" i="11" s="1"/>
  <c r="C3" i="41"/>
  <c r="K4" i="11"/>
  <c r="H5" i="42"/>
  <c r="G5" i="42"/>
  <c r="I5" i="42"/>
  <c r="G4" i="11" s="1"/>
  <c r="N4" i="54" s="1"/>
  <c r="P4" i="54" s="1"/>
  <c r="H25" i="50" s="1"/>
  <c r="I3" i="41"/>
  <c r="B109" i="35"/>
  <c r="B119" i="35" s="1"/>
  <c r="B121" i="35" s="1"/>
  <c r="B123" i="35" s="1"/>
  <c r="D14" i="36"/>
  <c r="E14" i="36" s="1"/>
  <c r="D4" i="37"/>
  <c r="C109" i="35"/>
  <c r="C119" i="35" s="1"/>
  <c r="C121" i="35" s="1"/>
  <c r="C123" i="35" s="1"/>
  <c r="B12" i="37"/>
  <c r="D20" i="36"/>
  <c r="B14" i="36"/>
  <c r="C14" i="36" s="1"/>
  <c r="B7" i="37"/>
  <c r="B10" i="36"/>
  <c r="B20" i="36"/>
  <c r="E7" i="36"/>
  <c r="E6" i="36"/>
  <c r="E8" i="36"/>
  <c r="B4" i="36"/>
  <c r="C8" i="36"/>
  <c r="C7" i="36"/>
  <c r="C6" i="36"/>
  <c r="D11" i="37"/>
  <c r="D7" i="37" s="1"/>
  <c r="D10" i="36"/>
  <c r="E10" i="36" s="1"/>
  <c r="D4" i="36"/>
  <c r="D19" i="37"/>
  <c r="B25" i="36"/>
  <c r="E53" i="50" l="1"/>
  <c r="O35" i="50"/>
  <c r="Q53" i="50" s="1"/>
  <c r="F53" i="50"/>
  <c r="Q35" i="50"/>
  <c r="U53" i="50" s="1"/>
  <c r="Q26" i="50"/>
  <c r="U44" i="50" s="1"/>
  <c r="I45" i="50"/>
  <c r="W27" i="50"/>
  <c r="U25" i="50"/>
  <c r="E54" i="50"/>
  <c r="O36" i="50"/>
  <c r="Q54" i="50" s="1"/>
  <c r="J6" i="54"/>
  <c r="F27" i="50" s="1"/>
  <c r="U5" i="54"/>
  <c r="F12" i="53"/>
  <c r="J12" i="53" s="1"/>
  <c r="K6" i="54"/>
  <c r="M6" i="54" s="1"/>
  <c r="D3" i="53"/>
  <c r="D4" i="53" s="1"/>
  <c r="H3" i="54"/>
  <c r="K3" i="54"/>
  <c r="F3" i="53"/>
  <c r="F4" i="53" s="1"/>
  <c r="B13" i="53"/>
  <c r="G7" i="11"/>
  <c r="N7" i="54" s="1"/>
  <c r="G6" i="53"/>
  <c r="G7" i="53" s="1"/>
  <c r="K7" i="11"/>
  <c r="H4" i="11"/>
  <c r="F5" i="42"/>
  <c r="E5" i="42"/>
  <c r="J4" i="11"/>
  <c r="C11" i="42"/>
  <c r="B4" i="11" s="1"/>
  <c r="B74" i="35"/>
  <c r="B26" i="37" s="1"/>
  <c r="B9" i="36"/>
  <c r="C9" i="36" s="1"/>
  <c r="B17" i="36"/>
  <c r="C17" i="36" s="1"/>
  <c r="C10" i="36"/>
  <c r="D27" i="37"/>
  <c r="E7" i="37" s="1"/>
  <c r="D9" i="36"/>
  <c r="E9" i="36" s="1"/>
  <c r="D17" i="36"/>
  <c r="E17" i="36" s="1"/>
  <c r="F45" i="50" l="1"/>
  <c r="Q27" i="50"/>
  <c r="U45" i="50" s="1"/>
  <c r="G27" i="50"/>
  <c r="U6" i="54"/>
  <c r="B6" i="53"/>
  <c r="B4" i="54"/>
  <c r="H6" i="53"/>
  <c r="Q4" i="54"/>
  <c r="C6" i="54"/>
  <c r="D6" i="54" s="1"/>
  <c r="D27" i="50" s="1"/>
  <c r="B14" i="53"/>
  <c r="D5" i="53"/>
  <c r="I3" i="54"/>
  <c r="J3" i="54" s="1"/>
  <c r="F24" i="50" s="1"/>
  <c r="F14" i="53"/>
  <c r="N9" i="54"/>
  <c r="P7" i="54"/>
  <c r="H28" i="50" s="1"/>
  <c r="L3" i="54"/>
  <c r="M3" i="54" s="1"/>
  <c r="F5" i="53"/>
  <c r="G16" i="53"/>
  <c r="G8" i="53"/>
  <c r="H7" i="53"/>
  <c r="C9" i="42"/>
  <c r="D4" i="11" s="1"/>
  <c r="H4" i="54" s="1"/>
  <c r="J7" i="11"/>
  <c r="K15" i="11"/>
  <c r="G15" i="11"/>
  <c r="G15" i="53"/>
  <c r="G21" i="53" s="1"/>
  <c r="K5" i="42"/>
  <c r="F4" i="11" s="1"/>
  <c r="K4" i="54" s="1"/>
  <c r="J3" i="41"/>
  <c r="B19" i="37"/>
  <c r="B27" i="37" s="1"/>
  <c r="F4" i="37" s="1"/>
  <c r="B30" i="36"/>
  <c r="C30" i="36" s="1"/>
  <c r="E4" i="37"/>
  <c r="E19" i="37"/>
  <c r="E12" i="37"/>
  <c r="D30" i="36"/>
  <c r="E30" i="36" s="1"/>
  <c r="G45" i="50" l="1"/>
  <c r="S27" i="50"/>
  <c r="H46" i="50"/>
  <c r="U28" i="50"/>
  <c r="F42" i="50"/>
  <c r="Q24" i="50"/>
  <c r="U42" i="50" s="1"/>
  <c r="D45" i="50"/>
  <c r="M27" i="50"/>
  <c r="M45" i="50" s="1"/>
  <c r="G39" i="53"/>
  <c r="N15" i="54"/>
  <c r="G24" i="50"/>
  <c r="G22" i="53"/>
  <c r="O9" i="54" s="1"/>
  <c r="P9" i="54" s="1"/>
  <c r="H30" i="50" s="1"/>
  <c r="G40" i="53"/>
  <c r="R4" i="54"/>
  <c r="G17" i="53"/>
  <c r="H8" i="53"/>
  <c r="F7" i="11"/>
  <c r="K7" i="54" s="1"/>
  <c r="K9" i="54" s="1"/>
  <c r="F6" i="53"/>
  <c r="D7" i="11"/>
  <c r="F5" i="50" s="1"/>
  <c r="D6" i="53"/>
  <c r="D7" i="53" s="1"/>
  <c r="J15" i="11"/>
  <c r="M4" i="11"/>
  <c r="H3" i="11"/>
  <c r="G4" i="37"/>
  <c r="B29" i="37"/>
  <c r="C7" i="37"/>
  <c r="C4" i="37"/>
  <c r="K3" i="41"/>
  <c r="K5" i="41" s="1"/>
  <c r="C19" i="37"/>
  <c r="C12" i="37"/>
  <c r="D29" i="37"/>
  <c r="H48" i="50" l="1"/>
  <c r="U30" i="50"/>
  <c r="G42" i="50"/>
  <c r="S24" i="50"/>
  <c r="D15" i="11"/>
  <c r="H15" i="54" s="1"/>
  <c r="G23" i="53"/>
  <c r="G41" i="53"/>
  <c r="O15" i="54"/>
  <c r="P15" i="54" s="1"/>
  <c r="H36" i="50" s="1"/>
  <c r="D15" i="53"/>
  <c r="D21" i="53" s="1"/>
  <c r="H7" i="54"/>
  <c r="H9" i="54" s="1"/>
  <c r="H7" i="11"/>
  <c r="Q7" i="54" s="1"/>
  <c r="Q9" i="54" s="1"/>
  <c r="H3" i="53"/>
  <c r="H4" i="53" s="1"/>
  <c r="Q3" i="54"/>
  <c r="D16" i="53"/>
  <c r="D40" i="53" s="1"/>
  <c r="I15" i="54" s="1"/>
  <c r="I4" i="54"/>
  <c r="S4" i="54"/>
  <c r="I25" i="50" s="1"/>
  <c r="D39" i="53"/>
  <c r="F7" i="53"/>
  <c r="D8" i="53"/>
  <c r="J6" i="53"/>
  <c r="F15" i="11"/>
  <c r="F15" i="53"/>
  <c r="F21" i="53" s="1"/>
  <c r="B3" i="11"/>
  <c r="C10" i="41"/>
  <c r="I43" i="50" l="1"/>
  <c r="W25" i="50"/>
  <c r="H54" i="50"/>
  <c r="U36" i="50"/>
  <c r="H15" i="53"/>
  <c r="H21" i="53" s="1"/>
  <c r="H15" i="11"/>
  <c r="H39" i="53" s="1"/>
  <c r="H5" i="53"/>
  <c r="R3" i="54"/>
  <c r="B5" i="53"/>
  <c r="H16" i="53"/>
  <c r="B7" i="11"/>
  <c r="F6" i="50" s="1"/>
  <c r="B3" i="54"/>
  <c r="U3" i="54" s="1"/>
  <c r="B3" i="53"/>
  <c r="J3" i="53" s="1"/>
  <c r="Q15" i="54"/>
  <c r="J15" i="54"/>
  <c r="F36" i="50" s="1"/>
  <c r="D41" i="53"/>
  <c r="F39" i="53"/>
  <c r="K15" i="54"/>
  <c r="J4" i="54"/>
  <c r="F25" i="50" s="1"/>
  <c r="I7" i="54"/>
  <c r="J7" i="54" s="1"/>
  <c r="F28" i="50" s="1"/>
  <c r="F16" i="53"/>
  <c r="L4" i="54"/>
  <c r="D17" i="53"/>
  <c r="D22" i="53"/>
  <c r="B8" i="53"/>
  <c r="B7" i="53" s="1"/>
  <c r="F8" i="53"/>
  <c r="M3" i="11"/>
  <c r="J9" i="34"/>
  <c r="G9" i="34"/>
  <c r="D9" i="34"/>
  <c r="E9" i="34" s="1"/>
  <c r="G8" i="34"/>
  <c r="G7" i="34"/>
  <c r="G6" i="34"/>
  <c r="G5" i="34"/>
  <c r="F54" i="50" l="1"/>
  <c r="Q36" i="50"/>
  <c r="U54" i="50" s="1"/>
  <c r="F43" i="50"/>
  <c r="Q25" i="50"/>
  <c r="U43" i="50" s="1"/>
  <c r="F46" i="50"/>
  <c r="Q28" i="50"/>
  <c r="U46" i="50" s="1"/>
  <c r="D6" i="50"/>
  <c r="H22" i="53"/>
  <c r="R9" i="54" s="1"/>
  <c r="S9" i="54" s="1"/>
  <c r="I30" i="50" s="1"/>
  <c r="H40" i="53"/>
  <c r="B4" i="53"/>
  <c r="C3" i="54" s="1"/>
  <c r="D3" i="54" s="1"/>
  <c r="D24" i="50" s="1"/>
  <c r="S3" i="54"/>
  <c r="I24" i="50" s="1"/>
  <c r="R7" i="54"/>
  <c r="S7" i="54" s="1"/>
  <c r="I28" i="50" s="1"/>
  <c r="H17" i="53"/>
  <c r="B15" i="53"/>
  <c r="B21" i="53" s="1"/>
  <c r="B7" i="54"/>
  <c r="B9" i="54" s="1"/>
  <c r="F22" i="53"/>
  <c r="F23" i="53" s="1"/>
  <c r="F40" i="53"/>
  <c r="C4" i="54"/>
  <c r="F17" i="53"/>
  <c r="I9" i="54"/>
  <c r="J9" i="54" s="1"/>
  <c r="F30" i="50" s="1"/>
  <c r="D23" i="53"/>
  <c r="L7" i="54"/>
  <c r="M7" i="54" s="1"/>
  <c r="G28" i="50" s="1"/>
  <c r="M4" i="54"/>
  <c r="B14" i="11"/>
  <c r="B16" i="13"/>
  <c r="B9" i="13"/>
  <c r="B10" i="13"/>
  <c r="B33" i="13"/>
  <c r="B24" i="13"/>
  <c r="B11" i="13"/>
  <c r="B7" i="13"/>
  <c r="B4" i="13"/>
  <c r="D9" i="27"/>
  <c r="E9" i="27"/>
  <c r="F9" i="27"/>
  <c r="G9" i="27"/>
  <c r="B17" i="13"/>
  <c r="K4" i="33"/>
  <c r="J9" i="33"/>
  <c r="J8" i="33"/>
  <c r="J7" i="33"/>
  <c r="J6" i="33"/>
  <c r="J5" i="33"/>
  <c r="J4" i="33"/>
  <c r="N5" i="33"/>
  <c r="J3" i="33"/>
  <c r="N4" i="33"/>
  <c r="J2" i="33"/>
  <c r="N3" i="33"/>
  <c r="N2" i="33"/>
  <c r="E14" i="1"/>
  <c r="E12" i="1"/>
  <c r="B16" i="53" l="1"/>
  <c r="B40" i="53" s="1"/>
  <c r="G46" i="50"/>
  <c r="S28" i="50"/>
  <c r="I48" i="50"/>
  <c r="W30" i="50"/>
  <c r="F48" i="50"/>
  <c r="Q30" i="50"/>
  <c r="U48" i="50" s="1"/>
  <c r="I46" i="50"/>
  <c r="W28" i="50"/>
  <c r="I42" i="50"/>
  <c r="W24" i="50"/>
  <c r="D42" i="50"/>
  <c r="M24" i="50"/>
  <c r="M42" i="50" s="1"/>
  <c r="H23" i="53"/>
  <c r="C15" i="54"/>
  <c r="B43" i="53"/>
  <c r="C16" i="54" s="1"/>
  <c r="L9" i="54"/>
  <c r="M9" i="54" s="1"/>
  <c r="G30" i="50" s="1"/>
  <c r="U4" i="54"/>
  <c r="G25" i="50"/>
  <c r="R15" i="54"/>
  <c r="S15" i="54" s="1"/>
  <c r="I36" i="50" s="1"/>
  <c r="H41" i="53"/>
  <c r="F41" i="53"/>
  <c r="L15" i="54"/>
  <c r="M15" i="54" s="1"/>
  <c r="G36" i="50" s="1"/>
  <c r="C9" i="27"/>
  <c r="H9" i="27" s="1"/>
  <c r="B17" i="53"/>
  <c r="B22" i="53"/>
  <c r="D4" i="54"/>
  <c r="D25" i="50" s="1"/>
  <c r="C7" i="54"/>
  <c r="D7" i="54" s="1"/>
  <c r="D28" i="50" s="1"/>
  <c r="F7" i="50"/>
  <c r="B14" i="54"/>
  <c r="D14" i="54" s="1"/>
  <c r="D35" i="50" s="1"/>
  <c r="B36" i="53"/>
  <c r="B38" i="53" s="1"/>
  <c r="D7" i="50"/>
  <c r="B15" i="11"/>
  <c r="B16" i="11" s="1"/>
  <c r="B30" i="13"/>
  <c r="B31" i="13"/>
  <c r="B14" i="13"/>
  <c r="C7" i="29" s="1"/>
  <c r="B18" i="29" s="1"/>
  <c r="B21" i="13"/>
  <c r="B29" i="13"/>
  <c r="B6" i="13"/>
  <c r="B7" i="29" s="1"/>
  <c r="B3" i="29"/>
  <c r="B22" i="13"/>
  <c r="G54" i="50" l="1"/>
  <c r="S36" i="50"/>
  <c r="G48" i="50"/>
  <c r="S30" i="50"/>
  <c r="D46" i="50"/>
  <c r="M28" i="50"/>
  <c r="M46" i="50" s="1"/>
  <c r="I54" i="50"/>
  <c r="W36" i="50"/>
  <c r="D53" i="50"/>
  <c r="M35" i="50"/>
  <c r="M53" i="50" s="1"/>
  <c r="D43" i="50"/>
  <c r="M25" i="50"/>
  <c r="M43" i="50" s="1"/>
  <c r="G43" i="50"/>
  <c r="S25" i="50"/>
  <c r="B46" i="53"/>
  <c r="C17" i="54" s="1"/>
  <c r="G16" i="11"/>
  <c r="H16" i="11" s="1"/>
  <c r="Q16" i="54" s="1"/>
  <c r="D16" i="11"/>
  <c r="C16" i="11"/>
  <c r="E16" i="11"/>
  <c r="F16" i="11"/>
  <c r="C9" i="54"/>
  <c r="D9" i="54" s="1"/>
  <c r="D30" i="50" s="1"/>
  <c r="B23" i="53"/>
  <c r="B39" i="53"/>
  <c r="B15" i="54"/>
  <c r="D12" i="50"/>
  <c r="M15" i="11"/>
  <c r="D13" i="50"/>
  <c r="D7" i="29"/>
  <c r="B13" i="29" s="1"/>
  <c r="B17" i="29"/>
  <c r="K6" i="33"/>
  <c r="B7" i="34" s="1"/>
  <c r="D7" i="34" s="1"/>
  <c r="E7" i="34" s="1"/>
  <c r="E7" i="29"/>
  <c r="B24" i="29" s="1"/>
  <c r="B28" i="13"/>
  <c r="B23" i="13"/>
  <c r="E3" i="29" s="1"/>
  <c r="D48" i="50" l="1"/>
  <c r="M30" i="50"/>
  <c r="M48" i="50" s="1"/>
  <c r="U15" i="54"/>
  <c r="D15" i="54"/>
  <c r="D36" i="50" s="1"/>
  <c r="J39" i="53"/>
  <c r="B41" i="53"/>
  <c r="C17" i="11"/>
  <c r="E16" i="54"/>
  <c r="C42" i="53"/>
  <c r="I17" i="11"/>
  <c r="H17" i="11"/>
  <c r="H42" i="53"/>
  <c r="J17" i="11"/>
  <c r="N16" i="54"/>
  <c r="J7" i="34"/>
  <c r="L6" i="33"/>
  <c r="M6" i="33"/>
  <c r="O3" i="33"/>
  <c r="B20" i="13"/>
  <c r="B27" i="13"/>
  <c r="B26" i="13"/>
  <c r="B19" i="13"/>
  <c r="K3" i="33"/>
  <c r="D54" i="50" l="1"/>
  <c r="M36" i="50"/>
  <c r="M54" i="50" s="1"/>
  <c r="H45" i="53"/>
  <c r="Q17" i="54"/>
  <c r="E17" i="54"/>
  <c r="C45" i="53"/>
  <c r="G17" i="11"/>
  <c r="G42" i="53"/>
  <c r="K16" i="54"/>
  <c r="H16" i="54"/>
  <c r="C3" i="29"/>
  <c r="B32" i="13"/>
  <c r="B25" i="13"/>
  <c r="A3" i="29"/>
  <c r="G45" i="53" l="1"/>
  <c r="N17" i="54"/>
  <c r="D17" i="11"/>
  <c r="D42" i="53"/>
  <c r="F17" i="11"/>
  <c r="F42" i="53"/>
  <c r="K17" i="11"/>
  <c r="D3" i="29"/>
  <c r="B18" i="13"/>
  <c r="B8" i="29" s="1"/>
  <c r="B36" i="13"/>
  <c r="B35" i="13" s="1"/>
  <c r="C8" i="29" s="1"/>
  <c r="F45" i="53" l="1"/>
  <c r="K17" i="54"/>
  <c r="D45" i="53"/>
  <c r="H17" i="54"/>
  <c r="B20" i="29"/>
  <c r="C9" i="29"/>
  <c r="B19" i="29"/>
  <c r="D8" i="29"/>
  <c r="E8" i="29"/>
  <c r="B25" i="29" s="1"/>
  <c r="B9" i="29"/>
  <c r="B14" i="29" l="1"/>
  <c r="D9" i="29"/>
  <c r="B16" i="29"/>
  <c r="C10" i="29"/>
  <c r="B27" i="29" s="1"/>
  <c r="B15" i="29"/>
  <c r="E9" i="29"/>
  <c r="B22" i="29" s="1"/>
  <c r="B10" i="29"/>
  <c r="B26" i="29" s="1"/>
  <c r="B21" i="29" l="1"/>
  <c r="D10" i="29"/>
  <c r="B23" i="29" s="1"/>
  <c r="K2" i="33" l="1"/>
  <c r="M9" i="11" l="1"/>
  <c r="K5" i="33"/>
  <c r="M5" i="33" s="1"/>
  <c r="F3" i="29"/>
  <c r="F7" i="29" s="1"/>
  <c r="B28" i="29" s="1"/>
  <c r="E17" i="11" l="1"/>
  <c r="E45" i="53" s="1"/>
  <c r="E42" i="53"/>
  <c r="L5" i="33"/>
  <c r="O2" i="33"/>
  <c r="B8" i="34"/>
  <c r="D8" i="34" s="1"/>
  <c r="E8" i="34" s="1"/>
  <c r="F8" i="50"/>
  <c r="D8" i="50"/>
  <c r="K7" i="33"/>
  <c r="B6" i="34" s="1"/>
  <c r="B16" i="54"/>
  <c r="D16" i="54" s="1"/>
  <c r="D37" i="50" s="1"/>
  <c r="D55" i="50" l="1"/>
  <c r="M37" i="50"/>
  <c r="M55" i="50" s="1"/>
  <c r="K8" i="33"/>
  <c r="L8" i="33" s="1"/>
  <c r="B42" i="53"/>
  <c r="J8" i="34"/>
  <c r="M7" i="33"/>
  <c r="O4" i="33"/>
  <c r="B17" i="11"/>
  <c r="B17" i="54" s="1"/>
  <c r="L7" i="33"/>
  <c r="J6" i="34"/>
  <c r="D6" i="34"/>
  <c r="E6" i="34" s="1"/>
  <c r="D17" i="54" l="1"/>
  <c r="D38" i="50" s="1"/>
  <c r="F43" i="53"/>
  <c r="L16" i="54" s="1"/>
  <c r="M16" i="54" s="1"/>
  <c r="G37" i="50" s="1"/>
  <c r="C43" i="53"/>
  <c r="F16" i="54" s="1"/>
  <c r="G16" i="54" s="1"/>
  <c r="E37" i="50" s="1"/>
  <c r="G43" i="53"/>
  <c r="O16" i="54" s="1"/>
  <c r="P16" i="54" s="1"/>
  <c r="H37" i="50" s="1"/>
  <c r="H43" i="53"/>
  <c r="R16" i="54" s="1"/>
  <c r="S16" i="54" s="1"/>
  <c r="I37" i="50" s="1"/>
  <c r="E43" i="53"/>
  <c r="D43" i="53"/>
  <c r="I16" i="54" s="1"/>
  <c r="J16" i="54" s="1"/>
  <c r="F37" i="50" s="1"/>
  <c r="B44" i="53"/>
  <c r="M8" i="33"/>
  <c r="M17" i="11"/>
  <c r="B45" i="53"/>
  <c r="F9" i="50"/>
  <c r="D17" i="50"/>
  <c r="D14" i="50"/>
  <c r="D16" i="50"/>
  <c r="D15" i="50"/>
  <c r="K9" i="33"/>
  <c r="L9" i="33" s="1"/>
  <c r="D9" i="50"/>
  <c r="I55" i="50" l="1"/>
  <c r="W37" i="50"/>
  <c r="F55" i="50"/>
  <c r="Q37" i="50"/>
  <c r="U55" i="50" s="1"/>
  <c r="E55" i="50"/>
  <c r="O37" i="50"/>
  <c r="Q55" i="50" s="1"/>
  <c r="H55" i="50"/>
  <c r="U37" i="50"/>
  <c r="G55" i="50"/>
  <c r="S37" i="50"/>
  <c r="D56" i="50"/>
  <c r="M38" i="50"/>
  <c r="M56" i="50" s="1"/>
  <c r="H46" i="53"/>
  <c r="H44" i="53"/>
  <c r="G46" i="53"/>
  <c r="G44" i="53"/>
  <c r="J45" i="53"/>
  <c r="B47" i="53"/>
  <c r="D46" i="53"/>
  <c r="D44" i="53"/>
  <c r="C44" i="53"/>
  <c r="C46" i="53"/>
  <c r="F17" i="54" s="1"/>
  <c r="E44" i="53"/>
  <c r="E46" i="53"/>
  <c r="E47" i="53" s="1"/>
  <c r="F44" i="53"/>
  <c r="F46" i="53"/>
  <c r="M9" i="33"/>
  <c r="O5" i="33"/>
  <c r="B5" i="34"/>
  <c r="G47" i="53" l="1"/>
  <c r="O17" i="54"/>
  <c r="P17" i="54" s="1"/>
  <c r="H38" i="50" s="1"/>
  <c r="D47" i="53"/>
  <c r="I17" i="54"/>
  <c r="J17" i="54" s="1"/>
  <c r="F38" i="50" s="1"/>
  <c r="F47" i="53"/>
  <c r="L17" i="54"/>
  <c r="M17" i="54" s="1"/>
  <c r="G38" i="50" s="1"/>
  <c r="G17" i="54"/>
  <c r="E38" i="50" s="1"/>
  <c r="U17" i="54"/>
  <c r="H47" i="53"/>
  <c r="R17" i="54"/>
  <c r="S17" i="54" s="1"/>
  <c r="I38" i="50" s="1"/>
  <c r="D5" i="34"/>
  <c r="E5" i="34" s="1"/>
  <c r="I4" i="34" s="1"/>
  <c r="I9" i="34" s="1"/>
  <c r="J5" i="34"/>
  <c r="J10" i="34" s="1"/>
  <c r="G56" i="50" l="1"/>
  <c r="S38" i="50"/>
  <c r="I56" i="50"/>
  <c r="W38" i="50"/>
  <c r="E56" i="50"/>
  <c r="O38" i="50"/>
  <c r="Q56" i="50" s="1"/>
  <c r="F56" i="50"/>
  <c r="Q38" i="50"/>
  <c r="U56" i="50" s="1"/>
  <c r="H56" i="50"/>
  <c r="U38" i="50"/>
  <c r="I5" i="34"/>
  <c r="I6" i="34"/>
  <c r="I7" i="34"/>
  <c r="I8" i="34"/>
  <c r="F7" i="44"/>
  <c r="D7" i="44" s="1"/>
  <c r="C7" i="44" s="1"/>
  <c r="L7" i="44" l="1"/>
  <c r="C47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Retolaza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</rPr>
          <t>Los ingresos por servicios se sustituyen por las subvenciones; dado el volumen de las mismas no se considera adecuado su incorporación en otros</t>
        </r>
      </text>
    </comment>
    <comment ref="A16" authorId="0" shapeId="0" xr:uid="{00000000-0006-0000-0300-000002000000}">
      <text>
        <r>
          <rPr>
            <sz val="9"/>
            <color indexed="81"/>
            <rFont val="Tahoma"/>
            <family val="2"/>
          </rPr>
          <t>Trasladado a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UPV/EHU</author>
  </authors>
  <commentList>
    <comment ref="D2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UPV/EHU:</t>
        </r>
        <r>
          <rPr>
            <sz val="9"/>
            <color indexed="81"/>
            <rFont val="Tahoma"/>
            <family val="2"/>
          </rPr>
          <t xml:space="preserve">
Coste hora industrial + coste hora servicio / 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 En las celdas en blanco, los gastos se introducirán con signo negativo y los ingresos con signo positivo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 xml:space="preserve"> En las celdas en blanco, los gastos se introducirán con signo negativo y los ingresos con signo positivo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E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PROXY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retol</author>
  </authors>
  <commentList>
    <comment ref="G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25 reuniones * 2,5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K4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BRUTO = COMPRA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BRUTO = COMPRA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<sst xmlns="http://schemas.openxmlformats.org/spreadsheetml/2006/main" count="13894" uniqueCount="4203">
  <si>
    <t>Descripción</t>
  </si>
  <si>
    <t>Indicador</t>
  </si>
  <si>
    <t>Fuente</t>
  </si>
  <si>
    <t>Valor añadido</t>
  </si>
  <si>
    <t>Declaración anual IVA</t>
  </si>
  <si>
    <t>Σ sueldos netos</t>
  </si>
  <si>
    <t>Seguridad Social</t>
  </si>
  <si>
    <t>Σ SS empresa + SS trabajador</t>
  </si>
  <si>
    <t>Contabilidad</t>
  </si>
  <si>
    <t>Impuesto de la Renta</t>
  </si>
  <si>
    <t>Σ (retención IRPF)</t>
  </si>
  <si>
    <t>IVA</t>
  </si>
  <si>
    <t>Σ (IVA generado - IVA repercutido)</t>
  </si>
  <si>
    <t>Σ impuestos abonados</t>
  </si>
  <si>
    <t>Resultado</t>
  </si>
  <si>
    <t>Gastos Personal</t>
  </si>
  <si>
    <t>Impuestos</t>
  </si>
  <si>
    <t>R-VES</t>
  </si>
  <si>
    <t>VES</t>
  </si>
  <si>
    <t>Proxy</t>
  </si>
  <si>
    <t>Resultados</t>
  </si>
  <si>
    <t>Resultados de explotación</t>
  </si>
  <si>
    <t>R-VES-IP</t>
  </si>
  <si>
    <t>VES-IP</t>
  </si>
  <si>
    <t>CUANTIFICACIÓN DEL VALOR SOCIAL</t>
  </si>
  <si>
    <t>VALOR</t>
  </si>
  <si>
    <t>CUANTÍA</t>
  </si>
  <si>
    <t>FUENTE DOCUMENTAL</t>
  </si>
  <si>
    <t>Generación de rentas potenciales a los accionistas. Capitalización complementaria a la distribución de beneficios</t>
  </si>
  <si>
    <t>INVERSORES</t>
  </si>
  <si>
    <t>VALOR BURSATIL</t>
  </si>
  <si>
    <t>Efecto inducido, por la generación de IVA</t>
  </si>
  <si>
    <t>ADMINISTRACIÓN</t>
  </si>
  <si>
    <t>Efecto tractor, a través de los proveedores de inversión</t>
  </si>
  <si>
    <t>PROVEEDORES</t>
  </si>
  <si>
    <t>PROVEEDORES DE INVERSIÓN</t>
  </si>
  <si>
    <t>IVA inducido por la factura realizada con la empresa</t>
  </si>
  <si>
    <t>Resultado generado por la entidad, que permite su incorporación en la dinámica económica (beneficios / reservas / tesorería / gastos financieros</t>
  </si>
  <si>
    <t>Contribución con impuestos societarios a la financiación de actividades públicas</t>
  </si>
  <si>
    <t>Contribución con impuesto personales a la financiación de las actividades públicas</t>
  </si>
  <si>
    <t>Aportación realizada a la seguridad social, que revierte en el bienestar de los trabajadores y sus familias</t>
  </si>
  <si>
    <t>Masa salarial distribuida por la empresa entre los trabajadores, que contribuye al incremento del poder adquisitivo agregado</t>
  </si>
  <si>
    <t>TRABAJADORES</t>
  </si>
  <si>
    <t>Efecto tractor, a través de los proveedores de la cadena de valor</t>
  </si>
  <si>
    <t xml:space="preserve">PROVEEDORES </t>
  </si>
  <si>
    <t>Resultado generado por la entidad, que permite su incorporación en la dinámica económica (beneficios / reservas / tesorería / gastos financieros)</t>
  </si>
  <si>
    <t>-</t>
  </si>
  <si>
    <t>Diferencia entre el valor añadido declarado, y el resultante del sumatorio parcial de variables</t>
  </si>
  <si>
    <t>Error residual</t>
  </si>
  <si>
    <t>+</t>
  </si>
  <si>
    <t>Porcentaje del valor retenido que es creado por la entidad</t>
  </si>
  <si>
    <t>R. Generación VR</t>
  </si>
  <si>
    <t>Porcentaje del valor distribuido que es creado por la entidad</t>
  </si>
  <si>
    <t>R. Generación VD</t>
  </si>
  <si>
    <t>Porcentaje del valor movilizado que es retenido por la entidad</t>
  </si>
  <si>
    <t>Ratio Distribución VM</t>
  </si>
  <si>
    <t>VALOR MOVILIZADO Y DISTRIBUIDO</t>
  </si>
  <si>
    <t>Porcentaje del valor añadido que es distribuido entre los stakeholders</t>
  </si>
  <si>
    <t>R. Distribución VA</t>
  </si>
  <si>
    <t>Porcentaje del valor total traccionado, que es creado por la entidad</t>
  </si>
  <si>
    <t>Ratio Generación</t>
  </si>
  <si>
    <t>Diferencial de tesorería retenido por la entidad, mejora la financiación tanto a corto como a largo</t>
  </si>
  <si>
    <t>Amortizaciones</t>
  </si>
  <si>
    <t>Porcentaje del valor total traccionado, que es distribuido entre los stakehoders</t>
  </si>
  <si>
    <t>Ratio Distribución</t>
  </si>
  <si>
    <t>Fondos retenidos por la entidad, con carácter temporal; mejoran la tesorería</t>
  </si>
  <si>
    <t>Totalidad del valor traccionado por la entidad a lo largo del periodo de referencia</t>
  </si>
  <si>
    <t>V. DINAMIZADO [VD]</t>
  </si>
  <si>
    <t>Fondos retenidos por la entidad, posibilita la financiación futura, y por tanto, la sostenibilidad</t>
  </si>
  <si>
    <t>Valor movilizado que ha sido consumido, o no utilizado por la entidad, en su proceso productivo</t>
  </si>
  <si>
    <t>VALOR AÑADIDO Y RETENIDO</t>
  </si>
  <si>
    <t>Cantidad del valor distribuido que no ha sido creado a través de la actividad económica de la entidad</t>
  </si>
  <si>
    <t>V. MOVILIZADO DISTRIBUIDO [VMD]</t>
  </si>
  <si>
    <t>Cantidad del valor retenido que ha sido creado a través de la actividad económica de la entidad</t>
  </si>
  <si>
    <t>V. AÑADIDO RETENIDO [VAR]</t>
  </si>
  <si>
    <t>Contribución al valor añadido de las entidades financieras. Efecto Tractor</t>
  </si>
  <si>
    <t>PROVEEDORES FINANCIEROS</t>
  </si>
  <si>
    <t>Cantidad del valor distribuido que ha sido creado a través de la actividad económica de la entidad</t>
  </si>
  <si>
    <t>V. AÑADIDO DISTRIBUIDO [VAD]</t>
  </si>
  <si>
    <t>ADMINISTRACIÓN </t>
  </si>
  <si>
    <t>Valor que retiene la entidad, a fin de garantizar su sostenibilidad</t>
  </si>
  <si>
    <t>V. RETENIDO [VR]</t>
  </si>
  <si>
    <t>Valor distribuido por la entidad entre sus stakeholders, a lo largo del periodo de referencia</t>
  </si>
  <si>
    <t>V. DISTRIBUIDO [VD]</t>
  </si>
  <si>
    <t>TOTALES</t>
  </si>
  <si>
    <t>Valor movilizado por la entidad a lo largo del periodo de referencia</t>
  </si>
  <si>
    <t>V. MOVILIZADO [VM]</t>
  </si>
  <si>
    <t>MOVILIZADO</t>
  </si>
  <si>
    <t>Valor añadido generado por la entidad a lo largo del periodo de referencia</t>
  </si>
  <si>
    <t>V. AÑADIDO [VA]</t>
  </si>
  <si>
    <t>AÑADIDO</t>
  </si>
  <si>
    <t>CONCEPTO</t>
  </si>
  <si>
    <t>RESULTADO</t>
  </si>
  <si>
    <t>DISTRIBUIDO</t>
  </si>
  <si>
    <t>VALOR AÑADIDO Y DISTRIBUIDO</t>
  </si>
  <si>
    <t>CLIENTES</t>
  </si>
  <si>
    <t>SOCIEDAD</t>
  </si>
  <si>
    <t>EXPLICACIÓN</t>
  </si>
  <si>
    <t> CANTIDAD</t>
  </si>
  <si>
    <t>Valor generado para clientes +valor inducido  a terceros</t>
  </si>
  <si>
    <t>CIF</t>
  </si>
  <si>
    <t>Nombre</t>
  </si>
  <si>
    <t>Código NIF</t>
  </si>
  <si>
    <t>Localidad</t>
  </si>
  <si>
    <t>País</t>
  </si>
  <si>
    <t>Ingresos de explotación
mil EUR
Últ. año disp.</t>
  </si>
  <si>
    <t>Número empleados
Últ. año disp.</t>
  </si>
  <si>
    <t>Gastos de personal
mil EUR
Últ. año disp.</t>
  </si>
  <si>
    <t>Valor agregado
mil EUR
Últ. año disp.</t>
  </si>
  <si>
    <t>VALOR SOCIO-EMOCIONAL</t>
  </si>
  <si>
    <t>MATRIZ DE VALOR DE MERCADO</t>
  </si>
  <si>
    <t>INFORME TIPO</t>
  </si>
  <si>
    <t>RESULTADOS</t>
  </si>
  <si>
    <t>CERTIFICACIÓN</t>
  </si>
  <si>
    <t>GRÁFICOS</t>
  </si>
  <si>
    <t>GEACCOUNTING</t>
  </si>
  <si>
    <t>*clientes o usuarios. Poner un desplegable</t>
  </si>
  <si>
    <t>VASE</t>
  </si>
  <si>
    <t>Σ compra proveedores</t>
  </si>
  <si>
    <t>ÍNDICE</t>
  </si>
  <si>
    <t>Generales</t>
  </si>
  <si>
    <t>Proveedores</t>
  </si>
  <si>
    <t>Proveedores de inversión</t>
  </si>
  <si>
    <t>Financiación</t>
  </si>
  <si>
    <t>COMENZAR</t>
  </si>
  <si>
    <t>Nombre de la organización</t>
  </si>
  <si>
    <t>Año a analizar</t>
  </si>
  <si>
    <t>0- FICHA DE LA ORGANIZACIÓN</t>
  </si>
  <si>
    <t>1. INTRODUCCIÓN DATOS</t>
  </si>
  <si>
    <t>o  Salarios netos</t>
  </si>
  <si>
    <t>o  Dividendos</t>
  </si>
  <si>
    <t>o  Seguridad Social</t>
  </si>
  <si>
    <t>o  IRPF</t>
  </si>
  <si>
    <t>o  Impuestos varios</t>
  </si>
  <si>
    <t> STAKEHOLDER</t>
  </si>
  <si>
    <t xml:space="preserve">   ◄ Indica el CIF</t>
  </si>
  <si>
    <t xml:space="preserve">   ◄ Indica de qué año son los datos del Análisis</t>
  </si>
  <si>
    <t xml:space="preserve">   ◄ Indica aquí el nombre de tu empresa /organización</t>
  </si>
  <si>
    <t>NOTA: Para poder visualizar correctamente la ficha de socio, sigue las instrucciones:</t>
  </si>
  <si>
    <t>Pincha sobre la imagen con el botón derecho</t>
  </si>
  <si>
    <t>Selecciona la opción Objeto Documento --&gt; Abrir</t>
  </si>
  <si>
    <t>FICHA DE SOCIO</t>
  </si>
  <si>
    <t>Ya la tienes lista para cumplimentar/imprimir/ guardar</t>
  </si>
  <si>
    <t>NOTA: Para poder visualizar correctamente la presentación, sigue las instrucciones:</t>
  </si>
  <si>
    <t>0. CUMPLIMENTAR FICHA</t>
  </si>
  <si>
    <t>3. OUTPUTS</t>
  </si>
  <si>
    <t>4. INFORMACIÓN DE INTERÉS</t>
  </si>
  <si>
    <t>VALOR ECONÓMICO SOCIAL INDIRECTO: PROVEEDORES DE INVERSIÓN</t>
  </si>
  <si>
    <t>VALOR ECONÓMICO SOCIAL INDIRECTO: PROVEEDORES</t>
  </si>
  <si>
    <t>VALOR ECONÓMICO SOCIAL DIRECTO</t>
  </si>
  <si>
    <t>¿QUÉ ES GEACCOUNTING?</t>
  </si>
  <si>
    <t>¿QUÉ ES GEAccounting?</t>
  </si>
  <si>
    <t>Contacto</t>
  </si>
  <si>
    <t xml:space="preserve">   ◄ Indica la persona de contacto responsable de este análisis, correo electrónico y teléfono.</t>
  </si>
  <si>
    <t>SIGUIENTE</t>
  </si>
  <si>
    <t>SUBIR</t>
  </si>
  <si>
    <t>Pincha sobre el icono con el botón derecho</t>
  </si>
  <si>
    <t>Ficha de socio</t>
  </si>
  <si>
    <t>Columna1</t>
  </si>
  <si>
    <t>VOLVER AL ÍNDICE</t>
  </si>
  <si>
    <t xml:space="preserve">Certificación </t>
  </si>
  <si>
    <t>PROVEEDORES / SOCIEDAD</t>
  </si>
  <si>
    <r>
      <t>Retorno económico de la inversión, distribuido a los accionistas; contribuye a la acumulación de capital e incentiva la inversió</t>
    </r>
    <r>
      <rPr>
        <i/>
        <sz val="9"/>
        <color theme="3" tint="-0.249977111117893"/>
        <rFont val="Calibri"/>
        <family val="2"/>
        <scheme val="minor"/>
      </rPr>
      <t>n</t>
    </r>
  </si>
  <si>
    <t>INFORME</t>
  </si>
  <si>
    <t>Éste es un informe tipo despues de realizar el análisis completo de monetización del Valor generado.</t>
  </si>
  <si>
    <t>NOTA: Para los socios de GEAccounting el proceso y sello de CERTIFICACIÓN está incluidas en la cuota de socio.</t>
  </si>
  <si>
    <t>Para el resto de entidades no asociadas, será opcional y tendrá un coste. Consulta en los enlaces siguientes:</t>
  </si>
  <si>
    <t xml:space="preserve">La revisión del análisis realizado y, en su caso, la CERTIFICACIÓN de los resultados obtenidos será realizada por el Grupo de Investigación </t>
  </si>
  <si>
    <t>ECRI de las Universidad del País Vasco y la de Deusto; y tiene un coste de 1500 €</t>
  </si>
  <si>
    <t>Valor Social Específico</t>
  </si>
  <si>
    <t>Valor Emocional</t>
  </si>
  <si>
    <t>2. CÁLCULOS</t>
  </si>
  <si>
    <t>Ratios de EFICIENCIA</t>
  </si>
  <si>
    <t>MATRIZ DE VALOR DE NO MERCADO</t>
  </si>
  <si>
    <t xml:space="preserve">o  Clientes </t>
  </si>
  <si>
    <t>o  Reservas</t>
  </si>
  <si>
    <t>o  Resultado sin distribuir</t>
  </si>
  <si>
    <t>o  Amortizaciones</t>
  </si>
  <si>
    <t>ENTRADA DE DATOS DE VALOR EMOCIONAL</t>
  </si>
  <si>
    <t>Ahorro para la Administración</t>
  </si>
  <si>
    <t>VALOR ECONOMICO GENERADO A LA ADMON PÚBLICA</t>
  </si>
  <si>
    <t>VALOR SOCIAL INTEGRAL</t>
  </si>
  <si>
    <t>MATRIZ DE VALOR DE MERCADO: DISTRIBUCIÓN DE VALOR DE MERCADO</t>
  </si>
  <si>
    <t>MATRIZ DE VALOR DE MERCADO (TABLA: MVM1)</t>
  </si>
  <si>
    <t>o   IRPF</t>
  </si>
  <si>
    <t>o  Impuestos</t>
  </si>
  <si>
    <t>o  Resultados</t>
  </si>
  <si>
    <t>o  IVA</t>
  </si>
  <si>
    <t>MADRID</t>
  </si>
  <si>
    <t>n.d.</t>
  </si>
  <si>
    <t>COSTE SALARIAL MEDIO</t>
  </si>
  <si>
    <t>o  Impuesto sobre beneficios</t>
  </si>
  <si>
    <t>o  Proveedores financieros</t>
  </si>
  <si>
    <t>USUARIOS</t>
  </si>
  <si>
    <t>VALOR MOVILIZADO Y RETENIDO</t>
  </si>
  <si>
    <t>RETENIDO</t>
  </si>
  <si>
    <t>V. MOVILIZADO RETENIDO [VMR]</t>
  </si>
  <si>
    <t>8.</t>
  </si>
  <si>
    <t>9.</t>
  </si>
  <si>
    <t>10.</t>
  </si>
  <si>
    <t>11.</t>
  </si>
  <si>
    <t>12.</t>
  </si>
  <si>
    <t>VASI</t>
  </si>
  <si>
    <t>Salarios netos</t>
  </si>
  <si>
    <t>Salarios Netos</t>
  </si>
  <si>
    <t>Materias primas + Suministros + Valor residual</t>
  </si>
  <si>
    <t>VARIABLES DE VALOR ORIENTADAS A INDICADORES</t>
  </si>
  <si>
    <t>STAKEHOLDERS</t>
  </si>
  <si>
    <t>UNIDAD MEDIDA</t>
  </si>
  <si>
    <t>UNIDAD VALOR</t>
  </si>
  <si>
    <t>OUTPUTS</t>
  </si>
  <si>
    <t>RANGO PROXY</t>
  </si>
  <si>
    <t>VALOR MEDIO</t>
  </si>
  <si>
    <t>VALOR GENERADO</t>
  </si>
  <si>
    <t>%</t>
  </si>
  <si>
    <t>AAPP</t>
  </si>
  <si>
    <t>TRABJ.</t>
  </si>
  <si>
    <t>INV.</t>
  </si>
  <si>
    <t>EVA</t>
  </si>
  <si>
    <t>VAME</t>
  </si>
  <si>
    <t>VAMI</t>
  </si>
  <si>
    <t>ISVI</t>
  </si>
  <si>
    <t>VSE</t>
  </si>
  <si>
    <t>VALOR SOCIAL INTEGRADO   [VASI]</t>
  </si>
  <si>
    <t>VALOR EMOCIONAL</t>
  </si>
  <si>
    <t>VE</t>
  </si>
  <si>
    <t>VALOR SOCIO-EMOCIONAL   [VASE]</t>
  </si>
  <si>
    <t>Fiabilidad</t>
  </si>
  <si>
    <t>Respuesta</t>
  </si>
  <si>
    <t>Seguridad</t>
  </si>
  <si>
    <t>Empatía</t>
  </si>
  <si>
    <t>Importancia</t>
  </si>
  <si>
    <t>NOAIN (V ELORZ)/NOAIN (ELORTZIBAR)</t>
  </si>
  <si>
    <t>% sobre presupuesto</t>
  </si>
  <si>
    <t>% sobre fin. pública</t>
  </si>
  <si>
    <t>GRÁFICO DE VALOR SOCIAL</t>
  </si>
  <si>
    <t>Introducir los datos en las celdas verdes. Resto están protegidas sin contraseña</t>
  </si>
  <si>
    <t>Area</t>
  </si>
  <si>
    <t>División</t>
  </si>
  <si>
    <t>Rdo</t>
  </si>
  <si>
    <t>Radio</t>
  </si>
  <si>
    <t>Valor Socio-Emocional</t>
  </si>
  <si>
    <t>Valor Social Integrado</t>
  </si>
  <si>
    <t>Valor Social de Mercado</t>
  </si>
  <si>
    <t>Resultado Económico</t>
  </si>
  <si>
    <t>Ratio Retorno Caja</t>
  </si>
  <si>
    <t>Ratio Retorno Económico</t>
  </si>
  <si>
    <t>Ratio Retorno Social</t>
  </si>
  <si>
    <t xml:space="preserve">Ratio Retono Socio-Emocional </t>
  </si>
  <si>
    <t>LANTEGI BATUAK</t>
  </si>
  <si>
    <t>Complete las celdas en blanco remitiéndose a la memoria si fuera necesario</t>
  </si>
  <si>
    <t>31.01.17</t>
  </si>
  <si>
    <t>A) OPERACIONES CONTINUADAS</t>
  </si>
  <si>
    <t>1. Importe neto de la cifra de negocios.</t>
  </si>
  <si>
    <t>a)  Ventas.</t>
  </si>
  <si>
    <t>2. Variación de existencias de productos terminados y en curso.</t>
  </si>
  <si>
    <t xml:space="preserve">3. Trabajos realizados por la empresa para su activo. </t>
  </si>
  <si>
    <t>4.  Aprovisionamientos.</t>
  </si>
  <si>
    <t>a) Consumo de mercaderías.</t>
  </si>
  <si>
    <t>b) Consumo de materias primas y otras materias consumibles.</t>
  </si>
  <si>
    <t>c) Trabajos realizados por otras empresas.</t>
  </si>
  <si>
    <t>d) Deterioro de mercaderías, materias primas y otros aprovisionamientos.</t>
  </si>
  <si>
    <t>5. Otros ingresos de explotación.</t>
  </si>
  <si>
    <t>a) Ingresos accesorios y otros de gestión corriente.</t>
  </si>
  <si>
    <t>b) Subvenciones de explotación incorporadas al resultado del ejercicio.</t>
  </si>
  <si>
    <t>6. Gastos de personal.</t>
  </si>
  <si>
    <t>a) Sueldos, salarios y asimilados (incluye servicio de trabajo a los socios)</t>
  </si>
  <si>
    <t>b) Cargas sociales.</t>
  </si>
  <si>
    <t>c)    Provisiones.</t>
  </si>
  <si>
    <t>7. Otros gastos de explotación.</t>
  </si>
  <si>
    <t>a)   Servicios exteriores.</t>
  </si>
  <si>
    <t xml:space="preserve"> b)   Tributos.</t>
  </si>
  <si>
    <r>
      <t xml:space="preserve"> c)   Pérdidas, deterioro y variación de provisiones por operaciones comerciales.</t>
    </r>
    <r>
      <rPr>
        <b/>
        <sz val="8"/>
        <rFont val="Arial"/>
        <family val="2"/>
      </rPr>
      <t xml:space="preserve"> </t>
    </r>
  </si>
  <si>
    <t xml:space="preserve"> d)   Otros gastos de gestión corriente</t>
  </si>
  <si>
    <t>8. Amortización del inmovilizado.</t>
  </si>
  <si>
    <t>9. Imputación de subvenciones de inmovilizado no financiero y otras.</t>
  </si>
  <si>
    <t>10. Excesos de provisiones.</t>
  </si>
  <si>
    <t xml:space="preserve"> A.0) RESULTADO DE EXPLOTACIÓN RECURRENTE (1+2+3+4+5+6+7+8+9+10)</t>
  </si>
  <si>
    <t>11) Deterioro y Resultados por venta de inmovilizado y otros no recurrentes</t>
  </si>
  <si>
    <t>a1) Deterioros  del inmovilizado (véase detalle en la memoria)</t>
  </si>
  <si>
    <t>a2) Pérdidas del inmovilizado (véase detalle en la memoria)</t>
  </si>
  <si>
    <t>b) Resultados por enajenaciones del inmovilizado</t>
  </si>
  <si>
    <t>c) Otros resultados de carácter excepcional</t>
  </si>
  <si>
    <t>d) Diferencia negativa de combinaciones de negocio</t>
  </si>
  <si>
    <t xml:space="preserve"> A.1) RESULTADO DE EXPLOTACIÓN TOTAL (1+2+3+4+5+6+7+8+9+10+11)</t>
  </si>
  <si>
    <t>12. Ingresos financieros.</t>
  </si>
  <si>
    <t>a) De participaciones en instrumentos de patrimonio.</t>
  </si>
  <si>
    <t xml:space="preserve">     a 1) En empresas del grupo y asociadas.</t>
  </si>
  <si>
    <t xml:space="preserve">     a 2) En terceros.</t>
  </si>
  <si>
    <t xml:space="preserve">b) De valores negociables y de créditos del activo inmovilizado. </t>
  </si>
  <si>
    <t xml:space="preserve">     b 1) De empresas del grupo y asociadas.</t>
  </si>
  <si>
    <t xml:space="preserve">     b 2) De terceros.</t>
  </si>
  <si>
    <t>c) Imputación de subvenciones, donaciones y legados de carácter financiero y otros IF.</t>
  </si>
  <si>
    <t>13. Gastos financieros.</t>
  </si>
  <si>
    <t>a) Por deudas con empresas del grupo y asociadas.</t>
  </si>
  <si>
    <t>b) Por deudas con terceros, con deudas de caracteristicas especiales y otros GF.</t>
  </si>
  <si>
    <t>c) Por actualización de provisiones</t>
  </si>
  <si>
    <t>14. Variación de valor razonable en instrumentos financieros.</t>
  </si>
  <si>
    <t>a)  Cartera de negociación y otros.</t>
  </si>
  <si>
    <t>b)  Imputación al rdo. del ejercicio por activos financieros disponibles para la venta.</t>
  </si>
  <si>
    <r>
      <t>15. Diferencias de cambio (neto)</t>
    </r>
    <r>
      <rPr>
        <b/>
        <i/>
        <sz val="8"/>
        <rFont val="Arial"/>
        <family val="2"/>
      </rPr>
      <t xml:space="preserve"> </t>
    </r>
  </si>
  <si>
    <t>a) Diferencias negativas de cambio</t>
  </si>
  <si>
    <t>b) Diferencias positivas de cambio</t>
  </si>
  <si>
    <t>16. Deterioro y resultado por enajenaciones de instrumentos financieros.</t>
  </si>
  <si>
    <t>a1)   Deterioros de instrumentos financieros</t>
  </si>
  <si>
    <t>a2) Pérdidas de instrumentos financieros</t>
  </si>
  <si>
    <t>b)   Resultados por enajenaciones de instrumentos financieros</t>
  </si>
  <si>
    <t xml:space="preserve">A.2) RESULTADO FINANCIERO (12+13+14+15+16)         </t>
  </si>
  <si>
    <t>A.3) RESULTADO ANTES DE IMPUESTOS (A.1+A.2)</t>
  </si>
  <si>
    <t>17. Impuestos sobre beneficios.</t>
  </si>
  <si>
    <t>A.4) RESULTADO DEL EJERCICIO  DE OPERACIONES CONTINUADAS (A.3+17)</t>
  </si>
  <si>
    <t>B) OPERACIONES INTERRUMPIDAS</t>
  </si>
  <si>
    <t xml:space="preserve">18. Resultado del ejercicio de operaciones interrumpidas neto de impuestos </t>
  </si>
  <si>
    <t>A.5) RESULTADO DEL EJERCICIO (A.4+18)</t>
  </si>
  <si>
    <t>INTRODUZCA DETALLE DE APLICACIÓN DEL RESULTADO (VÉASE NOTA 3)</t>
  </si>
  <si>
    <t>200X</t>
  </si>
  <si>
    <t>200X-1</t>
  </si>
  <si>
    <t>Reparto del resultado (véase detalle en la memoria)</t>
  </si>
  <si>
    <t>A Reservas y otros</t>
  </si>
  <si>
    <t>A Dividendos</t>
  </si>
  <si>
    <t>SI PROCEDE INTRODUZCA DETALLE DE INGRESOS Y GASTOS DE OPERACIONES INTERRUMPIDAS</t>
  </si>
  <si>
    <t>Detalle operaciones interrumpidas (Véase nota 21)</t>
  </si>
  <si>
    <t>a) Sueldos, salarios y asimilados.</t>
  </si>
  <si>
    <t xml:space="preserve"> B.1) RESULTADO DE EXPLOTACIÓN INTERRUMP. (1+2+3+4+5+6+7+8+9+10+11)</t>
  </si>
  <si>
    <t xml:space="preserve">B.2) RESULTADO FINANCIERO OP. INTERRUMPIDAS (12+13+14+15+16)         </t>
  </si>
  <si>
    <t>B.3) RESULTADO ANTES DE IMPUESTOS  OP. INTERRUMPIDAS(B.1+B.2)</t>
  </si>
  <si>
    <t>B.4) RESULTADO DEL EJERCICIO  DE OPERACIONESINTERRUMPIDAS (B.3+17)</t>
  </si>
  <si>
    <t>Test de comprobación operaciones interrumpidas = 0</t>
  </si>
  <si>
    <r>
      <t xml:space="preserve">Estado de Valor Añadido </t>
    </r>
    <r>
      <rPr>
        <b/>
        <sz val="10"/>
        <color indexed="9"/>
        <rFont val="Arial"/>
        <family val="2"/>
      </rPr>
      <t>(método directo o sustractivo)</t>
    </r>
  </si>
  <si>
    <t>Ingresos generados por la empresa en el periodo</t>
  </si>
  <si>
    <t>Ventas totales netas</t>
  </si>
  <si>
    <t xml:space="preserve"> ±Variación de existencias de productos terminados y en curso.</t>
  </si>
  <si>
    <t xml:space="preserve"> +Trabajos realizados por la empresa para su activo.</t>
  </si>
  <si>
    <t xml:space="preserve"> +Otros ingresos de explotación (sin subvenciones de explotación)</t>
  </si>
  <si>
    <t>A deducir: coste de los factores adquiridos a otras empresas</t>
  </si>
  <si>
    <t xml:space="preserve"> -Consumos de explotación (sin deterioro de materiales)</t>
  </si>
  <si>
    <t xml:space="preserve">     a) Consumo de mercaderías.</t>
  </si>
  <si>
    <t xml:space="preserve">     b) Consumo de materias primas y otras materias consumibles.</t>
  </si>
  <si>
    <t xml:space="preserve">     c) Trabajos realizados por otras empresas.</t>
  </si>
  <si>
    <t>Otros gastos de explotación (sin deterioro por operaciones comerciales ni tributos)</t>
  </si>
  <si>
    <t xml:space="preserve">     a)   Servicios exteriores (incluyen alquileres a empresas)</t>
  </si>
  <si>
    <t xml:space="preserve">     d)   Otros gastos de gestión corriente</t>
  </si>
  <si>
    <t xml:space="preserve"> =Valor añadido bruto generado por la empresa </t>
  </si>
  <si>
    <t xml:space="preserve"> + Subvenciones de explotación incorporadas al resultado del ejercicio.</t>
  </si>
  <si>
    <t xml:space="preserve"> + Imputación de subvenciones de inmovilizado no financiero y otras.</t>
  </si>
  <si>
    <t xml:space="preserve"> ±Resultados por venta de inmovilizado y otros no recurrentes</t>
  </si>
  <si>
    <t xml:space="preserve">    a2) Pérdidas del inmovilizado</t>
  </si>
  <si>
    <t xml:space="preserve">    b) Resultados por enajenaciones del inmovilizado</t>
  </si>
  <si>
    <t xml:space="preserve">    c) Otros resultados de carácter excepcional</t>
  </si>
  <si>
    <t xml:space="preserve">    d) Diferencia negativa de combinaciones de negocio</t>
  </si>
  <si>
    <t xml:space="preserve"> +Ingresos financieros.</t>
  </si>
  <si>
    <t>±Variación de valor razonable en instrumentos financieros.</t>
  </si>
  <si>
    <r>
      <t>±Diferencias de cambio (neto)</t>
    </r>
    <r>
      <rPr>
        <i/>
        <sz val="8"/>
        <rFont val="Arial"/>
        <family val="2"/>
      </rPr>
      <t xml:space="preserve"> </t>
    </r>
  </si>
  <si>
    <t xml:space="preserve">  16 a2) Pérdidas de instrumentos financieros</t>
  </si>
  <si>
    <t xml:space="preserve">  16 b) Resultados por enajenaciones de instrumentos financieros</t>
  </si>
  <si>
    <t xml:space="preserve"> =Valor añadido bruto a repartir </t>
  </si>
  <si>
    <r>
      <t xml:space="preserve">Estado de Valor Añadido </t>
    </r>
    <r>
      <rPr>
        <b/>
        <sz val="10"/>
        <color indexed="9"/>
        <rFont val="Arial"/>
        <family val="2"/>
      </rPr>
      <t>(método indirecto o aditivo)</t>
    </r>
  </si>
  <si>
    <t>Reparto al factor trabajo</t>
  </si>
  <si>
    <t xml:space="preserve">    6a) Sueldos, salarios y asimilados (incluye servicio de trabajo a los socios)</t>
  </si>
  <si>
    <t xml:space="preserve">    6c) Provisiones por retribuciones a los empleados</t>
  </si>
  <si>
    <t>Reparto al factor capital</t>
  </si>
  <si>
    <t>Capital propio</t>
  </si>
  <si>
    <t xml:space="preserve">    Dividendos</t>
  </si>
  <si>
    <t>Capital ajeno</t>
  </si>
  <si>
    <t xml:space="preserve">   Gastos financieros</t>
  </si>
  <si>
    <t>Reparto al Estado</t>
  </si>
  <si>
    <t>Hacienda pública</t>
  </si>
  <si>
    <t xml:space="preserve">    7b)   Tributos.</t>
  </si>
  <si>
    <r>
      <t xml:space="preserve">   </t>
    </r>
    <r>
      <rPr>
        <sz val="8"/>
        <rFont val="Arial"/>
        <family val="2"/>
      </rPr>
      <t xml:space="preserve"> 17. Impuestos sobre beneficios.</t>
    </r>
  </si>
  <si>
    <t>Retenido por la empresa</t>
  </si>
  <si>
    <t xml:space="preserve"> -Amortización del inmovilizado.</t>
  </si>
  <si>
    <t xml:space="preserve"> -Deterioro de mercaderías, materias primas y otros aprovisionamientos.</t>
  </si>
  <si>
    <r>
      <t xml:space="preserve"> -Pérdidas, deterioro y variación de provisiones por operaciones comerciales.</t>
    </r>
    <r>
      <rPr>
        <b/>
        <sz val="8"/>
        <rFont val="Arial"/>
        <family val="2"/>
      </rPr>
      <t xml:space="preserve"> </t>
    </r>
  </si>
  <si>
    <t xml:space="preserve"> +Excesos de provisiones.</t>
  </si>
  <si>
    <t xml:space="preserve"> -Deterioros del inmovilizado</t>
  </si>
  <si>
    <t xml:space="preserve"> -Deterioros de instrumentos financieros</t>
  </si>
  <si>
    <t>Aplicado a Reservas</t>
  </si>
  <si>
    <t>TOTAL VALOR AÑADIDO REPARTIDO</t>
  </si>
  <si>
    <t>Test de comprobación: equivalencia generación y reparto = 0</t>
  </si>
  <si>
    <t>Cuenta de pérdidas y ganancias  LANTEGI BATUAK</t>
  </si>
  <si>
    <t xml:space="preserve">              TABLA INTRODUCCIÓN DATOS ANÁLISIS VALOR SOCIAL GENERADO</t>
  </si>
  <si>
    <t>Formula</t>
  </si>
  <si>
    <t>Fuente documental</t>
  </si>
  <si>
    <t>Datos entidad</t>
  </si>
  <si>
    <t>Σ (IVA repercutivo - IVA devengado)</t>
  </si>
  <si>
    <t>Σ facturación</t>
  </si>
  <si>
    <t>Σ sueldos brutos</t>
  </si>
  <si>
    <t>Resultado de explotación</t>
  </si>
  <si>
    <t>Impuesto sociedades</t>
  </si>
  <si>
    <t>VALOR SOCIOECONÓMICO INDIRECTO. CLIENTES</t>
  </si>
  <si>
    <t>Coste / hora.  Coste / hora sectores específicos.</t>
  </si>
  <si>
    <t>Ine / Eustat</t>
  </si>
  <si>
    <t>Mantener PY</t>
  </si>
  <si>
    <t>Horas productivas</t>
  </si>
  <si>
    <t>nº horas efectivas facturadas</t>
  </si>
  <si>
    <t>Gastos personal</t>
  </si>
  <si>
    <t>AHORRO PARA LA ADMINISTRACIÓN</t>
  </si>
  <si>
    <t>Pensión no contributiva &gt; 65% minusvalía</t>
  </si>
  <si>
    <t>nº trabj. Minusvalía &gt; 65%</t>
  </si>
  <si>
    <t>Derecho a cuidado familiar</t>
  </si>
  <si>
    <t>nº trab. psiquicos&gt; 33% + fisicos / sensoriales &gt; 65%</t>
  </si>
  <si>
    <t>Prestaciones sanitarias</t>
  </si>
  <si>
    <t>Mantener PY/Igual pensión</t>
  </si>
  <si>
    <t>Transito al empleo ordinario</t>
  </si>
  <si>
    <t>nº de trabj. Que se incorporan en un empleo ordinario</t>
  </si>
  <si>
    <t>Informe seguimiento trabajadores</t>
  </si>
  <si>
    <t>Creación empleo CEE</t>
  </si>
  <si>
    <t>nº de puestos de trabajo de nueva creación en la empresa para personas con minusvalías</t>
  </si>
  <si>
    <t>Contratos</t>
  </si>
  <si>
    <t>Creación Empleo Ordinario</t>
  </si>
  <si>
    <t>nº de puestos de trabajo de nueva creación en la empresa para personas sin minusvalías</t>
  </si>
  <si>
    <t>VALOR PARA LAS FAMILIAS</t>
  </si>
  <si>
    <t>Psíquicos &gt;65%</t>
  </si>
  <si>
    <t>nº trabj. Con minuvalía psiquica &gt; 65%</t>
  </si>
  <si>
    <t>Datos laborales. (Consulta Fernando Garro)</t>
  </si>
  <si>
    <t>Psíquicos &gt;33%</t>
  </si>
  <si>
    <t>nº trabj. Con minuvalía psiquica &gt; 35%</t>
  </si>
  <si>
    <t>Fisicos/Sensoriales&gt;65%</t>
  </si>
  <si>
    <t>nº trabj. Con minuvalía fisico/sensorial &gt; 65%</t>
  </si>
  <si>
    <t>Fisicos/Sensoriales &gt;33%</t>
  </si>
  <si>
    <t>nº trabj. Con minuvalía fisico/sensorial &gt; 35%</t>
  </si>
  <si>
    <t>Coste oportunidad</t>
  </si>
  <si>
    <t xml:space="preserve">nº jornadas laborales </t>
  </si>
  <si>
    <t>Calendario laboral</t>
  </si>
  <si>
    <t>nº horas laborales trabajador</t>
  </si>
  <si>
    <t>Convenio / contratos</t>
  </si>
  <si>
    <t>Coste salarial discap psíquica</t>
  </si>
  <si>
    <t>Σ salarios personas con discapacidad intelectual + trastorno mental</t>
  </si>
  <si>
    <t>Coste salarial discap fisica + ensorial</t>
  </si>
  <si>
    <t>Σ salarios personas con discapacidad física y sensorial</t>
  </si>
  <si>
    <t>Coste salarial trabj. Sin discapacidad</t>
  </si>
  <si>
    <t xml:space="preserve">Σ salarios personas sin discapacidad </t>
  </si>
  <si>
    <t>Valor</t>
  </si>
  <si>
    <t>Usuarios del SO</t>
  </si>
  <si>
    <t>Datos laborales</t>
  </si>
  <si>
    <t>Dias al año de uso del comedor por el SO</t>
  </si>
  <si>
    <t>Personal sanitario</t>
  </si>
  <si>
    <t>Coste - Contabilidad</t>
  </si>
  <si>
    <t>Neto SS</t>
  </si>
  <si>
    <t>Servicio Ocupacional</t>
  </si>
  <si>
    <t>CEE</t>
  </si>
  <si>
    <t>Personal sin discapacidad</t>
  </si>
  <si>
    <t xml:space="preserve"> nº de visitas de profesionales externos - empresas</t>
  </si>
  <si>
    <t>Memoria Servicio Ocupacional</t>
  </si>
  <si>
    <t>Tiempo medio (horas)</t>
  </si>
  <si>
    <t>Universitarios+Empresas= 5+208=213
Ciclos formativos=57
Secundaria=235
Tiempo medio= 2 horas</t>
  </si>
  <si>
    <t>Horas de visitas a LB por parte de alumnos en formación o profesionales de otras entidades, al año.</t>
  </si>
  <si>
    <t xml:space="preserve"> nº de visitas de universitarios</t>
  </si>
  <si>
    <t xml:space="preserve"> nº de visitas de personas en ciclos formativos</t>
  </si>
  <si>
    <t xml:space="preserve"> nº de visitas de estudiantes de secundaria</t>
  </si>
  <si>
    <t xml:space="preserve">nº de charlas destinadas a proyectos de sensibilización por parte de personas con discapacidad inetelectual </t>
  </si>
  <si>
    <t>Memoria Desarrollo sociolaboral (p.45) Colaboracion con Universidades</t>
  </si>
  <si>
    <t xml:space="preserve">Colaboracion con Universidades. 3 chalas (1 San Viator + 2 UPV)
Tiempo medio: 2 horas.
Publico: 40 personas/media
</t>
  </si>
  <si>
    <t xml:space="preserve">Horas dedicadas a sesiones de sensibilización por parte de personas con discapacidad inetelectual </t>
  </si>
  <si>
    <t xml:space="preserve">nº de personas asistentes a sensibilización por parte de personas con discapacidad inetelectual </t>
  </si>
  <si>
    <t>nº de alumnos de prácticas de profesionales externos</t>
  </si>
  <si>
    <t>Memoria Desarrollo sociolaboral (p.30)</t>
  </si>
  <si>
    <t>Nº alumnos en prácticas=28
Tiempo medio; el mínimo 315 horas y el máximo 450h. Se considera la media=382,5horas</t>
  </si>
  <si>
    <t>Horas de prácticas desarrolladas en LB por profesionales externos</t>
  </si>
  <si>
    <t xml:space="preserve">nº horas de formación a profesionales de la entidad </t>
  </si>
  <si>
    <t>Tabla Datos formación. Nº horas por colectivos (Trabajadores de FLB)</t>
  </si>
  <si>
    <t>Nº horas formación Trabajadores de FLB = 24.075</t>
  </si>
  <si>
    <t xml:space="preserve">Horas de formación a profesionales de la entidad </t>
  </si>
  <si>
    <t xml:space="preserve">Nº de horas ponentes o docentes </t>
  </si>
  <si>
    <t>Memoria Desarrollo sociolaboral (p.29)</t>
  </si>
  <si>
    <t xml:space="preserve">Formación impartida por profesionales de Desarrollo sociolaboral a otras instituciones. 3 casos: 
 - Uni Deusto - 14horas x 25 personas;  
 - REd Salud Mental - 2 grupos x 5 horas x 20 personas. 
[Se mezcla con visitas (no serían eventos!)] </t>
  </si>
  <si>
    <t xml:space="preserve">Horas que profesionales de la entidad dedican a ser ponentes o docentes </t>
  </si>
  <si>
    <t>nº total de km de ahorro</t>
  </si>
  <si>
    <t>Estimación propia</t>
  </si>
  <si>
    <t>Distancia media de los centros a Etxebarri: 32km (i/v). Ver cuadro Kilometros.
Número de días laborables año: 211
Número de personas que no trabajan en Etxebarri: 2.522</t>
  </si>
  <si>
    <t>Kilómetros de desplazamientos ahorrados al año por las personas que asistene a los centros. Tomamos como referencia la distancia de cada población a Etxebarri</t>
  </si>
  <si>
    <t>Nº de días laborables año</t>
  </si>
  <si>
    <t>Nº personas que no trabajan en Etxebarri</t>
  </si>
  <si>
    <t>Total LB-Etxebarri-Garaetxe-Mkt-Staff Servicios</t>
  </si>
  <si>
    <t>nº de personas dedicadas al transporte de operarios (plus de transporte)</t>
  </si>
  <si>
    <t>Tiempo medio transporte (horas)</t>
  </si>
  <si>
    <t>22 personas de industrial con plus de transporte.
Se considera 1 hora al día de transporte de operarios.
Se consideran 211 días</t>
  </si>
  <si>
    <t>Horas anuales que los profesionales de LB dedican a realizar tareas de transporte</t>
  </si>
  <si>
    <t>nº de horas de trabajo invidual con familias</t>
  </si>
  <si>
    <t>Objetivos de comunicación DSL</t>
  </si>
  <si>
    <t>Tiempo medio entrevistas indiciduales con familias (horas)</t>
  </si>
  <si>
    <t>Calculo específico: 692 entrevistas individuales con familias. Tiempo media entrevistas individual: 1h</t>
  </si>
  <si>
    <t>Horas anuales individuales dedicadas por profesionales especializados a las familias</t>
  </si>
  <si>
    <t>nº de horas de trabajo grupal con familia. Asistentes jornadas puertas abiertas</t>
  </si>
  <si>
    <t xml:space="preserve">Objetivos de comunicación DSL </t>
  </si>
  <si>
    <t>Tiempo medio reunión familiar (horas)</t>
  </si>
  <si>
    <t>Calculo específico. 
1) 528 asistentes a jornadas de puertas abiertas. Tiempo medio jornadas puertas abiertas: 2h.  
2) 154 asistentes a reuniones familiares. Tiempo medio reunnión familiar: 2,5h</t>
  </si>
  <si>
    <t>nº de horas de trabajo grupal con familias. Asistentes a reuniones familiares</t>
  </si>
  <si>
    <t>EXTERNALIZACIONES POSITIVAS</t>
  </si>
  <si>
    <t>Ergohobe</t>
  </si>
  <si>
    <t>Coste</t>
  </si>
  <si>
    <t>Coste total del proyecto en 2016</t>
  </si>
  <si>
    <t>Orientación</t>
  </si>
  <si>
    <t>Lanerako- Empleo con apoyo</t>
  </si>
  <si>
    <t>Envejecimiento</t>
  </si>
  <si>
    <t>Transporte</t>
  </si>
  <si>
    <t>Transporte operarios</t>
  </si>
  <si>
    <t>Σ Subvenciones tipología A</t>
  </si>
  <si>
    <t>Σ Subvenciones tipología B</t>
  </si>
  <si>
    <t>SO+SMI+UAPs</t>
  </si>
  <si>
    <t>Σ Subvenciones tipología C</t>
  </si>
  <si>
    <t>Σ Subvenciones tipología D</t>
  </si>
  <si>
    <t>pu</t>
  </si>
  <si>
    <t>Priv</t>
  </si>
  <si>
    <t>SUBVENCIONES GENERALES   [A]</t>
  </si>
  <si>
    <t>Resultado 2017</t>
  </si>
  <si>
    <t>I</t>
  </si>
  <si>
    <t>II</t>
  </si>
  <si>
    <t>III</t>
  </si>
  <si>
    <t>IV</t>
  </si>
  <si>
    <t>V</t>
  </si>
  <si>
    <t>VI</t>
  </si>
  <si>
    <t>VII</t>
  </si>
  <si>
    <t>A=III+IV+V+VI</t>
  </si>
  <si>
    <t>III=II*0,35</t>
  </si>
  <si>
    <t>IV=II*0,17</t>
  </si>
  <si>
    <t>VIII</t>
  </si>
  <si>
    <t>B=V+VIII</t>
  </si>
  <si>
    <t>Indices de repercusión</t>
  </si>
  <si>
    <t xml:space="preserve"> </t>
  </si>
  <si>
    <t xml:space="preserve">Compra proveedores </t>
  </si>
  <si>
    <r>
      <t>Σ compra proveedores</t>
    </r>
    <r>
      <rPr>
        <b/>
        <sz val="10"/>
        <color theme="1"/>
        <rFont val="Arial"/>
        <family val="2"/>
      </rPr>
      <t xml:space="preserve"> inmovilizado</t>
    </r>
  </si>
  <si>
    <t>Resultado 2014</t>
  </si>
  <si>
    <t>R-VES-IC</t>
  </si>
  <si>
    <t>VES-IC</t>
  </si>
  <si>
    <t>B=I</t>
  </si>
  <si>
    <t>Pensión no contributiva</t>
  </si>
  <si>
    <t>Subvención cuidado familiar</t>
  </si>
  <si>
    <t>Empleo por cuenta ajena</t>
  </si>
  <si>
    <t>Creación de nuevos empleos P. discapacidad</t>
  </si>
  <si>
    <t>Σ (%&gt;65%) * pensión</t>
  </si>
  <si>
    <t>Datos plantilla Decreto ayudas</t>
  </si>
  <si>
    <t>Datos plantilla Estimaciones coste sanitario</t>
  </si>
  <si>
    <t>Datos plantilla Subv. Colocación</t>
  </si>
  <si>
    <t>Datos plantilla Subv. Creación de empleo sin discapacidad</t>
  </si>
  <si>
    <t>[Horas liberadas] Coste de oportunidad</t>
  </si>
  <si>
    <t>Retorno del coste de oportunidad</t>
  </si>
  <si>
    <t>Ahorro comidas</t>
  </si>
  <si>
    <t>Servicios sanitarios</t>
  </si>
  <si>
    <t>Transferencia del conocimiento</t>
  </si>
  <si>
    <t>Valor aportado por las PcDI al generar una mayor sensibilizanción en su entorno</t>
  </si>
  <si>
    <t>Formación y Capacitación de profesionales</t>
  </si>
  <si>
    <t>Participación en eventos generadores de conocimiento</t>
  </si>
  <si>
    <t>Distribución geográfica</t>
  </si>
  <si>
    <t>Trabajo con las familias</t>
  </si>
  <si>
    <t>Horas * coste</t>
  </si>
  <si>
    <t>CO * Tasa de empleo femenina (52,3%)</t>
  </si>
  <si>
    <t>(%) * pax SO * gasto comida* t</t>
  </si>
  <si>
    <t>Coste efectivo</t>
  </si>
  <si>
    <t xml:space="preserve"> nº de horas de visita de profesionales externos/alumnos</t>
  </si>
  <si>
    <t>nº de horas destinadas a proyestos de sensibilización</t>
  </si>
  <si>
    <t>nº de horas de prácticas de profesionales externos</t>
  </si>
  <si>
    <t>nº de horas dedicadas al transporte</t>
  </si>
  <si>
    <t>nº de horas de trabajo grupal con familias</t>
  </si>
  <si>
    <t>Nóminas</t>
  </si>
  <si>
    <t>Informe Ministerio</t>
  </si>
  <si>
    <t>Cálculo interno</t>
  </si>
  <si>
    <t>Memoria Servicio Ocupacional 2016</t>
  </si>
  <si>
    <t>Memoria Desarrollo sociolaboral 2016 (p.45) Colaboracion con Universidades</t>
  </si>
  <si>
    <t>Memoria Desarrollo sociolaboral 2016 (p.30)</t>
  </si>
  <si>
    <t>Tabla Datos formación 2016. Nº horas por colectivos (Trabajadores de FLB)</t>
  </si>
  <si>
    <t>Memoria Desarrollo sociolaboral 2016 (p.29)</t>
  </si>
  <si>
    <t>Objetivos de comunicación DSL 2016</t>
  </si>
  <si>
    <t>HORAS ANUALES X 18
HORAS ANUALES X 12
HORAS ANUALES X 7,5</t>
  </si>
  <si>
    <t>HORAS ANUALES X 7,5</t>
  </si>
  <si>
    <t>HORAS ANUALES X 18</t>
  </si>
  <si>
    <t>HORAS ANUALES X 9</t>
  </si>
  <si>
    <t>KILOMETROS ANUALES X 0,19</t>
  </si>
  <si>
    <t>HORAS ANUALES X 10</t>
  </si>
  <si>
    <t>HORAS ANUALES X 50</t>
  </si>
  <si>
    <t>HORAS ANUALES X 12</t>
  </si>
  <si>
    <t xml:space="preserve">Horas dedicadas a sesiones de sensibilización por parte de personas con discapacidad intelectual </t>
  </si>
  <si>
    <t>Nº horas formación Trabajadores de FLB = 24.075 (2016)</t>
  </si>
  <si>
    <t xml:space="preserve">Formación impartida por profesionales de Desarrollo sociolaboral a otras instituciones. 2 casos 2017: 
 - Uni Deusto - 14horas x 25 personas;  
 - REd Salud Mental - 2 grupos x 5 horas x 20 personas. 
[Se mezcla con visitas (no serían eventos!)] </t>
  </si>
  <si>
    <t>Calculo específico: 656 entrevistas individuales con familias. Tiempo media entrevistas individual: 1h</t>
  </si>
  <si>
    <t>Calculo específico. 
1) 350 asistentes a jornadas de puertas abiertas. Tiempo medio jornadas puertas abiertas: 2h.  
2) 336 asistentes a reuniones familiares. Timepo medio reunnión familiar: 2,5h</t>
  </si>
  <si>
    <t>Resultado 2011</t>
  </si>
  <si>
    <t>Coste subvencionado</t>
  </si>
  <si>
    <t>VS-EX</t>
  </si>
  <si>
    <t xml:space="preserve">b)  Subvenciones imputadas al excedente del ejercicio </t>
  </si>
  <si>
    <t>a) Amortización inmovilizado en propiedad</t>
  </si>
  <si>
    <t>b) Amortización inmovilizado cedido gratuitamente</t>
  </si>
  <si>
    <t>a) Imputación de subvenciones de capital asociadas a inmovilizado propiedad</t>
  </si>
  <si>
    <t>b) Imputación de subvenciones de capital asociadas a inmovilizado cedido</t>
  </si>
  <si>
    <t>GENERACIÓN DEL VALOR AÑADIDO BRUTO LANTEGI BATUAK</t>
  </si>
  <si>
    <t>31.01.18</t>
  </si>
  <si>
    <t xml:space="preserve">    6b) Cargas sociales empresa</t>
  </si>
  <si>
    <t xml:space="preserve">          Cargas sociales trabajadores</t>
  </si>
  <si>
    <t xml:space="preserve">          Retención IRPF</t>
  </si>
  <si>
    <t>VAPER</t>
  </si>
  <si>
    <t>REPARTO O APLICACIÓN DEL VALOR AÑADIDO BRUTO LANTEGI BATUAK</t>
  </si>
  <si>
    <t>VAPER C</t>
  </si>
  <si>
    <t>A01053990</t>
  </si>
  <si>
    <t>B01551563</t>
  </si>
  <si>
    <t>B01462027</t>
  </si>
  <si>
    <t>B01292341</t>
  </si>
  <si>
    <t>VITORIA-GASTEIZ</t>
  </si>
  <si>
    <t>A01337260</t>
  </si>
  <si>
    <t>A01107721</t>
  </si>
  <si>
    <t>A01029313</t>
  </si>
  <si>
    <t>B01292416</t>
  </si>
  <si>
    <t>A01285576</t>
  </si>
  <si>
    <t>B01557990</t>
  </si>
  <si>
    <t>B01393339</t>
  </si>
  <si>
    <t>A01115807</t>
  </si>
  <si>
    <t>B01137389</t>
  </si>
  <si>
    <t>B01480334</t>
  </si>
  <si>
    <t>A01001239</t>
  </si>
  <si>
    <t>B01265339</t>
  </si>
  <si>
    <t>B01164870</t>
  </si>
  <si>
    <t>B01213032</t>
  </si>
  <si>
    <t>B01007400</t>
  </si>
  <si>
    <t>F01009554</t>
  </si>
  <si>
    <t>B01134451</t>
  </si>
  <si>
    <t>A01023456</t>
  </si>
  <si>
    <t>B01263011</t>
  </si>
  <si>
    <t>B01452473</t>
  </si>
  <si>
    <t>A01175496</t>
  </si>
  <si>
    <t>B01395060</t>
  </si>
  <si>
    <t>A01049725</t>
  </si>
  <si>
    <t>B01168764</t>
  </si>
  <si>
    <t>A01279884</t>
  </si>
  <si>
    <t>A01326248</t>
  </si>
  <si>
    <t>B01517721</t>
  </si>
  <si>
    <t>B01130210</t>
  </si>
  <si>
    <t>A01055243</t>
  </si>
  <si>
    <t>A01316637</t>
  </si>
  <si>
    <t>A01002963</t>
  </si>
  <si>
    <t>B01156777</t>
  </si>
  <si>
    <t>B01440718</t>
  </si>
  <si>
    <t>B01219484</t>
  </si>
  <si>
    <t>B20569729</t>
  </si>
  <si>
    <t>A01030287</t>
  </si>
  <si>
    <t>A01055623</t>
  </si>
  <si>
    <t>A01116771</t>
  </si>
  <si>
    <t>B01148212</t>
  </si>
  <si>
    <t>B01481852</t>
  </si>
  <si>
    <t>B01353879</t>
  </si>
  <si>
    <t>B01441377</t>
  </si>
  <si>
    <t>A01042019</t>
  </si>
  <si>
    <t>A01031749</t>
  </si>
  <si>
    <t>AMURRIO</t>
  </si>
  <si>
    <t>A01018258</t>
  </si>
  <si>
    <t>B48630354</t>
  </si>
  <si>
    <t>B01362839</t>
  </si>
  <si>
    <t>B01140854</t>
  </si>
  <si>
    <t>B01531565</t>
  </si>
  <si>
    <t>ARTZINIEGA</t>
  </si>
  <si>
    <t>A48267579</t>
  </si>
  <si>
    <t>A20098570</t>
  </si>
  <si>
    <t>B75069955</t>
  </si>
  <si>
    <t>B20154597</t>
  </si>
  <si>
    <t>A11606118</t>
  </si>
  <si>
    <t>B48049605</t>
  </si>
  <si>
    <t>B75109926</t>
  </si>
  <si>
    <t>A20677969</t>
  </si>
  <si>
    <t>F20487443</t>
  </si>
  <si>
    <t>B75019406</t>
  </si>
  <si>
    <t>B20036018</t>
  </si>
  <si>
    <t>B20788725</t>
  </si>
  <si>
    <t>B75001743</t>
  </si>
  <si>
    <t>B20443388</t>
  </si>
  <si>
    <t>B20114617</t>
  </si>
  <si>
    <t>B20192118</t>
  </si>
  <si>
    <t>A20715884</t>
  </si>
  <si>
    <t>A20044590</t>
  </si>
  <si>
    <t>A20094413</t>
  </si>
  <si>
    <t>B75036228</t>
  </si>
  <si>
    <t>ERRENTERIA</t>
  </si>
  <si>
    <t>B20578860</t>
  </si>
  <si>
    <t>B20988085</t>
  </si>
  <si>
    <t>A20084729</t>
  </si>
  <si>
    <t>B20391462</t>
  </si>
  <si>
    <t>ASTIGARRAGA</t>
  </si>
  <si>
    <t>A58943812</t>
  </si>
  <si>
    <t>B20694378</t>
  </si>
  <si>
    <t>A20128435</t>
  </si>
  <si>
    <t>B20166567</t>
  </si>
  <si>
    <t>B20053468</t>
  </si>
  <si>
    <t>A20202560</t>
  </si>
  <si>
    <t>B20473930</t>
  </si>
  <si>
    <t>HERNANI</t>
  </si>
  <si>
    <t>B20382602</t>
  </si>
  <si>
    <t>B20591061</t>
  </si>
  <si>
    <t>A20049334</t>
  </si>
  <si>
    <t>B20448452</t>
  </si>
  <si>
    <t>URNIETA</t>
  </si>
  <si>
    <t>B75003160</t>
  </si>
  <si>
    <t>A20041901</t>
  </si>
  <si>
    <t>ANDOAIN</t>
  </si>
  <si>
    <t>B20957676</t>
  </si>
  <si>
    <t>B75015743</t>
  </si>
  <si>
    <t>A20214623</t>
  </si>
  <si>
    <t>A20301453</t>
  </si>
  <si>
    <t>VILLABONA</t>
  </si>
  <si>
    <t>B20035424</t>
  </si>
  <si>
    <t>ASTEASU</t>
  </si>
  <si>
    <t>B20700464</t>
  </si>
  <si>
    <t>ZIZURKIL</t>
  </si>
  <si>
    <t>A20086625</t>
  </si>
  <si>
    <t>LASARTE-ORIA</t>
  </si>
  <si>
    <t>B20833224</t>
  </si>
  <si>
    <t>A20066346</t>
  </si>
  <si>
    <t>USURBIL</t>
  </si>
  <si>
    <t>A20309795</t>
  </si>
  <si>
    <t>OIARTZUN</t>
  </si>
  <si>
    <t>B75116541</t>
  </si>
  <si>
    <t>B20228375</t>
  </si>
  <si>
    <t>B20103438</t>
  </si>
  <si>
    <t>B20967360</t>
  </si>
  <si>
    <t>B20062295</t>
  </si>
  <si>
    <t>BEASAIN</t>
  </si>
  <si>
    <t>B75178921</t>
  </si>
  <si>
    <t>LAZKAO</t>
  </si>
  <si>
    <t>B75165514</t>
  </si>
  <si>
    <t>B20532933</t>
  </si>
  <si>
    <t>OLABERRIA</t>
  </si>
  <si>
    <t>B20471561</t>
  </si>
  <si>
    <t>A20594768</t>
  </si>
  <si>
    <t>ZEGAMA</t>
  </si>
  <si>
    <t>A20019527</t>
  </si>
  <si>
    <t>B20553947</t>
  </si>
  <si>
    <t>LEGAZPI</t>
  </si>
  <si>
    <t>F20048351</t>
  </si>
  <si>
    <t>B75148353</t>
  </si>
  <si>
    <t>HONDARRIBIA</t>
  </si>
  <si>
    <t>IRUN</t>
  </si>
  <si>
    <t>A20043410</t>
  </si>
  <si>
    <t>B75102897</t>
  </si>
  <si>
    <t>B20089462</t>
  </si>
  <si>
    <t>A20664785</t>
  </si>
  <si>
    <t>B20083283</t>
  </si>
  <si>
    <t>B75081463</t>
  </si>
  <si>
    <t>B20064499</t>
  </si>
  <si>
    <t>B20651618</t>
  </si>
  <si>
    <t>A20064853</t>
  </si>
  <si>
    <t>TOLOSA</t>
  </si>
  <si>
    <t>A20504890</t>
  </si>
  <si>
    <t>F20369153</t>
  </si>
  <si>
    <t>A20075537</t>
  </si>
  <si>
    <t>B20846481</t>
  </si>
  <si>
    <t>ESKORIATZA</t>
  </si>
  <si>
    <t>A20021507</t>
  </si>
  <si>
    <t>F75058347</t>
  </si>
  <si>
    <t>OÑATI</t>
  </si>
  <si>
    <t>F75037127</t>
  </si>
  <si>
    <t>B20992095</t>
  </si>
  <si>
    <t>BERGARA</t>
  </si>
  <si>
    <t>A20078580</t>
  </si>
  <si>
    <t>A20104196</t>
  </si>
  <si>
    <t>B20602009</t>
  </si>
  <si>
    <t>A20133716</t>
  </si>
  <si>
    <t>A20077079</t>
  </si>
  <si>
    <t>EIBAR</t>
  </si>
  <si>
    <t>B20308482</t>
  </si>
  <si>
    <t>B20585246</t>
  </si>
  <si>
    <t>B95134045</t>
  </si>
  <si>
    <t>A20094421</t>
  </si>
  <si>
    <t>B20668216</t>
  </si>
  <si>
    <t>B20508842</t>
  </si>
  <si>
    <t>B20783379</t>
  </si>
  <si>
    <t>B20601795</t>
  </si>
  <si>
    <t>B20075545</t>
  </si>
  <si>
    <t>A20082053</t>
  </si>
  <si>
    <t>B20065256</t>
  </si>
  <si>
    <t>A20022448</t>
  </si>
  <si>
    <t>B20796652</t>
  </si>
  <si>
    <t>B20358768</t>
  </si>
  <si>
    <t>A08119687</t>
  </si>
  <si>
    <t>B20681458</t>
  </si>
  <si>
    <t>A20180915</t>
  </si>
  <si>
    <t>B20524765</t>
  </si>
  <si>
    <t>B20578472</t>
  </si>
  <si>
    <t>B20588604</t>
  </si>
  <si>
    <t>ELGETA</t>
  </si>
  <si>
    <t>B75163220</t>
  </si>
  <si>
    <t>EZKIO-ITSASO</t>
  </si>
  <si>
    <t>B20993424</t>
  </si>
  <si>
    <t>AZKOITIA</t>
  </si>
  <si>
    <t>B20846838</t>
  </si>
  <si>
    <t>AZPEITIA</t>
  </si>
  <si>
    <t>B75157966</t>
  </si>
  <si>
    <t>ZUMAIA</t>
  </si>
  <si>
    <t>A20073169</t>
  </si>
  <si>
    <t>B20469029</t>
  </si>
  <si>
    <t>ZARAUTZ</t>
  </si>
  <si>
    <t>B20044103</t>
  </si>
  <si>
    <t>A20166419</t>
  </si>
  <si>
    <t>AIA</t>
  </si>
  <si>
    <t>DEBA</t>
  </si>
  <si>
    <t>B20343695</t>
  </si>
  <si>
    <t>B20072054</t>
  </si>
  <si>
    <t>B75080473</t>
  </si>
  <si>
    <t>B20633103</t>
  </si>
  <si>
    <t>A20375259</t>
  </si>
  <si>
    <t>MENDARO</t>
  </si>
  <si>
    <t>A20012597</t>
  </si>
  <si>
    <t>A20037446</t>
  </si>
  <si>
    <t>B20937710</t>
  </si>
  <si>
    <t>B75032300</t>
  </si>
  <si>
    <t>ELGOIBAR</t>
  </si>
  <si>
    <t>B20898235</t>
  </si>
  <si>
    <t>A20097135</t>
  </si>
  <si>
    <t>B75068098</t>
  </si>
  <si>
    <t>B20522678</t>
  </si>
  <si>
    <t>A20020277</t>
  </si>
  <si>
    <t>B75112441</t>
  </si>
  <si>
    <t>B75112185</t>
  </si>
  <si>
    <t>B20019824</t>
  </si>
  <si>
    <t>B20929758</t>
  </si>
  <si>
    <t>B95597639</t>
  </si>
  <si>
    <t>BILBAO</t>
  </si>
  <si>
    <t>B48109821</t>
  </si>
  <si>
    <t>G28197994</t>
  </si>
  <si>
    <t>A08536583</t>
  </si>
  <si>
    <t>B95485694</t>
  </si>
  <si>
    <t>B95751335</t>
  </si>
  <si>
    <t>B95098356</t>
  </si>
  <si>
    <t>A48532469</t>
  </si>
  <si>
    <t>A95000295</t>
  </si>
  <si>
    <t>B95478004</t>
  </si>
  <si>
    <t>B20797080</t>
  </si>
  <si>
    <t>A95104832</t>
  </si>
  <si>
    <t>A48795850</t>
  </si>
  <si>
    <t>A48109482</t>
  </si>
  <si>
    <t>B48413488</t>
  </si>
  <si>
    <t>A48279921</t>
  </si>
  <si>
    <t>B48875058</t>
  </si>
  <si>
    <t>A48420707</t>
  </si>
  <si>
    <t>B95816203</t>
  </si>
  <si>
    <t>A48057467</t>
  </si>
  <si>
    <t>B48437024</t>
  </si>
  <si>
    <t>B95376638</t>
  </si>
  <si>
    <t>B48988273</t>
  </si>
  <si>
    <t>B48185987</t>
  </si>
  <si>
    <t>B95055034</t>
  </si>
  <si>
    <t>A48151872</t>
  </si>
  <si>
    <t>B95818936</t>
  </si>
  <si>
    <t>B48310510</t>
  </si>
  <si>
    <t>B95713863</t>
  </si>
  <si>
    <t>A48112890</t>
  </si>
  <si>
    <t>A48536858</t>
  </si>
  <si>
    <t>F48537518</t>
  </si>
  <si>
    <t>A48147706</t>
  </si>
  <si>
    <t>B95349858</t>
  </si>
  <si>
    <t>B95677456</t>
  </si>
  <si>
    <t>B48762405</t>
  </si>
  <si>
    <t>A48035141</t>
  </si>
  <si>
    <t>A48167803</t>
  </si>
  <si>
    <t>F48278774</t>
  </si>
  <si>
    <t>B95647822</t>
  </si>
  <si>
    <t>A48214506</t>
  </si>
  <si>
    <t>B95189254</t>
  </si>
  <si>
    <t>B48586390</t>
  </si>
  <si>
    <t>B95640488</t>
  </si>
  <si>
    <t>A28079069</t>
  </si>
  <si>
    <t>A95236840</t>
  </si>
  <si>
    <t>B87401766</t>
  </si>
  <si>
    <t>A95265195</t>
  </si>
  <si>
    <t>B95039210</t>
  </si>
  <si>
    <t>B95708673</t>
  </si>
  <si>
    <t>B95526828</t>
  </si>
  <si>
    <t>B95695045</t>
  </si>
  <si>
    <t>B48589857</t>
  </si>
  <si>
    <t>B48932685</t>
  </si>
  <si>
    <t>B95356861</t>
  </si>
  <si>
    <t>A48159669</t>
  </si>
  <si>
    <t>A28799120</t>
  </si>
  <si>
    <t>A48104723</t>
  </si>
  <si>
    <t>Q4873001D</t>
  </si>
  <si>
    <t>B95773479</t>
  </si>
  <si>
    <t>B95349296</t>
  </si>
  <si>
    <t>B48875272</t>
  </si>
  <si>
    <t>B95062162</t>
  </si>
  <si>
    <t>B95210514</t>
  </si>
  <si>
    <t>B48086698</t>
  </si>
  <si>
    <t>B48150536</t>
  </si>
  <si>
    <t>A28122125</t>
  </si>
  <si>
    <t>A48041842</t>
  </si>
  <si>
    <t>B95480919</t>
  </si>
  <si>
    <t>B48682868</t>
  </si>
  <si>
    <t>A95469433</t>
  </si>
  <si>
    <t>B48142343</t>
  </si>
  <si>
    <t>B95701975</t>
  </si>
  <si>
    <t>B95391397</t>
  </si>
  <si>
    <t>B95709804</t>
  </si>
  <si>
    <t>B48756498</t>
  </si>
  <si>
    <t>A48189526</t>
  </si>
  <si>
    <t>A48166169</t>
  </si>
  <si>
    <t>A48272421</t>
  </si>
  <si>
    <t>B48062491</t>
  </si>
  <si>
    <t>B48722813</t>
  </si>
  <si>
    <t>A48115000</t>
  </si>
  <si>
    <t>A48215503</t>
  </si>
  <si>
    <t>A48135743</t>
  </si>
  <si>
    <t>A95369849</t>
  </si>
  <si>
    <t>A79945598</t>
  </si>
  <si>
    <t>A48092985</t>
  </si>
  <si>
    <t>B95631404</t>
  </si>
  <si>
    <t>G48089908</t>
  </si>
  <si>
    <t>A48589360</t>
  </si>
  <si>
    <t>A48630719</t>
  </si>
  <si>
    <t>A48212567</t>
  </si>
  <si>
    <t>B95024014</t>
  </si>
  <si>
    <t>A28161396</t>
  </si>
  <si>
    <t>B83049189</t>
  </si>
  <si>
    <t>B48060974</t>
  </si>
  <si>
    <t>A48219026</t>
  </si>
  <si>
    <t>B48438972</t>
  </si>
  <si>
    <t>A48602973</t>
  </si>
  <si>
    <t>B48127773</t>
  </si>
  <si>
    <t>B48977078</t>
  </si>
  <si>
    <t>A48016505</t>
  </si>
  <si>
    <t>B95182911</t>
  </si>
  <si>
    <t>B48458871</t>
  </si>
  <si>
    <t>B95326286</t>
  </si>
  <si>
    <t>F48680771</t>
  </si>
  <si>
    <t>B48100515</t>
  </si>
  <si>
    <t>B48102107</t>
  </si>
  <si>
    <t>B95161584</t>
  </si>
  <si>
    <t>A48214456</t>
  </si>
  <si>
    <t>B95146130</t>
  </si>
  <si>
    <t>B48709034</t>
  </si>
  <si>
    <t>B48489470</t>
  </si>
  <si>
    <t>B48805295</t>
  </si>
  <si>
    <t>B48012835</t>
  </si>
  <si>
    <t>B95700530</t>
  </si>
  <si>
    <t>B95625992</t>
  </si>
  <si>
    <t>B95823175</t>
  </si>
  <si>
    <t>B48883003</t>
  </si>
  <si>
    <t>A48139224</t>
  </si>
  <si>
    <t>A48082440</t>
  </si>
  <si>
    <t>B84412683</t>
  </si>
  <si>
    <t>B48175236</t>
  </si>
  <si>
    <t>B48174775</t>
  </si>
  <si>
    <t>B95524955</t>
  </si>
  <si>
    <t>B95114708</t>
  </si>
  <si>
    <t>B48301865</t>
  </si>
  <si>
    <t>B48106553</t>
  </si>
  <si>
    <t>A48181945</t>
  </si>
  <si>
    <t>Q4870003C</t>
  </si>
  <si>
    <t>B95715090</t>
  </si>
  <si>
    <t>B48124531</t>
  </si>
  <si>
    <t>B48232094</t>
  </si>
  <si>
    <t>B95670055</t>
  </si>
  <si>
    <t>B48019350</t>
  </si>
  <si>
    <t>A48162218</t>
  </si>
  <si>
    <t>B95165437</t>
  </si>
  <si>
    <t>B48579965</t>
  </si>
  <si>
    <t>A50001726</t>
  </si>
  <si>
    <t>B48094338</t>
  </si>
  <si>
    <t>F48481923</t>
  </si>
  <si>
    <t>A48015374</t>
  </si>
  <si>
    <t>A48027676</t>
  </si>
  <si>
    <t>B48425565</t>
  </si>
  <si>
    <t>B48469274</t>
  </si>
  <si>
    <t>B48506612</t>
  </si>
  <si>
    <t>A48024335</t>
  </si>
  <si>
    <t>B48291587</t>
  </si>
  <si>
    <t>B48452486</t>
  </si>
  <si>
    <t>B95709564</t>
  </si>
  <si>
    <t>A48148647</t>
  </si>
  <si>
    <t>B48881718</t>
  </si>
  <si>
    <t>B95150702</t>
  </si>
  <si>
    <t>B48874754</t>
  </si>
  <si>
    <t>B48840912</t>
  </si>
  <si>
    <t>B95173910</t>
  </si>
  <si>
    <t>A48139786</t>
  </si>
  <si>
    <t>B20645016</t>
  </si>
  <si>
    <t>ZAMUDIO</t>
  </si>
  <si>
    <t>A48172506</t>
  </si>
  <si>
    <t>DERIO</t>
  </si>
  <si>
    <t>B20861282</t>
  </si>
  <si>
    <t>A48010821</t>
  </si>
  <si>
    <t>B48175822</t>
  </si>
  <si>
    <t>MUNGIA</t>
  </si>
  <si>
    <t>A48125207</t>
  </si>
  <si>
    <t>B95109344</t>
  </si>
  <si>
    <t>F48510051</t>
  </si>
  <si>
    <t>B95342283</t>
  </si>
  <si>
    <t>B48232375</t>
  </si>
  <si>
    <t>A48107833</t>
  </si>
  <si>
    <t>B95448635</t>
  </si>
  <si>
    <t>A48136196</t>
  </si>
  <si>
    <t>A48145288</t>
  </si>
  <si>
    <t>B48957864</t>
  </si>
  <si>
    <t>B95580759</t>
  </si>
  <si>
    <t>GATIKA</t>
  </si>
  <si>
    <t>B95165072</t>
  </si>
  <si>
    <t>B95125944</t>
  </si>
  <si>
    <t>B95541587</t>
  </si>
  <si>
    <t>B48943831</t>
  </si>
  <si>
    <t>F48222459</t>
  </si>
  <si>
    <t>A48227938</t>
  </si>
  <si>
    <t>B48175525</t>
  </si>
  <si>
    <t>B95592986</t>
  </si>
  <si>
    <t>F48023329</t>
  </si>
  <si>
    <t>B95239695</t>
  </si>
  <si>
    <t>B95632774</t>
  </si>
  <si>
    <t>A48015333</t>
  </si>
  <si>
    <t>B95338802</t>
  </si>
  <si>
    <t>B95316089</t>
  </si>
  <si>
    <t>A48001317</t>
  </si>
  <si>
    <t>A48222111</t>
  </si>
  <si>
    <t>B95507653</t>
  </si>
  <si>
    <t>B95144119</t>
  </si>
  <si>
    <t>A48693840</t>
  </si>
  <si>
    <t>B48284210</t>
  </si>
  <si>
    <t>B95632758</t>
  </si>
  <si>
    <t>B48540520</t>
  </si>
  <si>
    <t>B95251005</t>
  </si>
  <si>
    <t>B95110342</t>
  </si>
  <si>
    <t>B95817425</t>
  </si>
  <si>
    <t>IGORRE</t>
  </si>
  <si>
    <t>B95416558</t>
  </si>
  <si>
    <t>B48567242</t>
  </si>
  <si>
    <t>A48182976</t>
  </si>
  <si>
    <t>B20635231</t>
  </si>
  <si>
    <t>A48274609</t>
  </si>
  <si>
    <t>B48133839</t>
  </si>
  <si>
    <t>B48183370</t>
  </si>
  <si>
    <t>B95484986</t>
  </si>
  <si>
    <t>B48241319</t>
  </si>
  <si>
    <t>ARTEA</t>
  </si>
  <si>
    <t>B48838262</t>
  </si>
  <si>
    <t>ZEANURI</t>
  </si>
  <si>
    <t>A48245849</t>
  </si>
  <si>
    <t>SONDIKA</t>
  </si>
  <si>
    <t>B48840268</t>
  </si>
  <si>
    <t>A95035705</t>
  </si>
  <si>
    <t>B95542916</t>
  </si>
  <si>
    <t>B95119350</t>
  </si>
  <si>
    <t>B95814414</t>
  </si>
  <si>
    <t>B48424238</t>
  </si>
  <si>
    <t>B48209068</t>
  </si>
  <si>
    <t>B95211843</t>
  </si>
  <si>
    <t>B95383055</t>
  </si>
  <si>
    <t>B48995856</t>
  </si>
  <si>
    <t>A48937643</t>
  </si>
  <si>
    <t>B48605521</t>
  </si>
  <si>
    <t>B48582795</t>
  </si>
  <si>
    <t>B95305991</t>
  </si>
  <si>
    <t>B95002366</t>
  </si>
  <si>
    <t>B48619803</t>
  </si>
  <si>
    <t>B95583340</t>
  </si>
  <si>
    <t>B48843353</t>
  </si>
  <si>
    <t>B95805487</t>
  </si>
  <si>
    <t>B95859898</t>
  </si>
  <si>
    <t>B95098778</t>
  </si>
  <si>
    <t>B95738928</t>
  </si>
  <si>
    <t>A48115810</t>
  </si>
  <si>
    <t>B48637524</t>
  </si>
  <si>
    <t>A58010257</t>
  </si>
  <si>
    <t>A20006607</t>
  </si>
  <si>
    <t>A48167902</t>
  </si>
  <si>
    <t>A48766695</t>
  </si>
  <si>
    <t>B48251763</t>
  </si>
  <si>
    <t>B48547566</t>
  </si>
  <si>
    <t>B95188926</t>
  </si>
  <si>
    <t>B95367884</t>
  </si>
  <si>
    <t>B95658290</t>
  </si>
  <si>
    <t>B95727095</t>
  </si>
  <si>
    <t>A48117881</t>
  </si>
  <si>
    <t>B48797914</t>
  </si>
  <si>
    <t>B48403125</t>
  </si>
  <si>
    <t>B48857585</t>
  </si>
  <si>
    <t>B48456081</t>
  </si>
  <si>
    <t>B48858328</t>
  </si>
  <si>
    <t>B95186409</t>
  </si>
  <si>
    <t>A48053425</t>
  </si>
  <si>
    <t>A28073815</t>
  </si>
  <si>
    <t>B48176770</t>
  </si>
  <si>
    <t>B66884743</t>
  </si>
  <si>
    <t>B95159133</t>
  </si>
  <si>
    <t>B48302228</t>
  </si>
  <si>
    <t>A95030268</t>
  </si>
  <si>
    <t>B95163556</t>
  </si>
  <si>
    <t>A28345577</t>
  </si>
  <si>
    <t>B48104426</t>
  </si>
  <si>
    <t>A48551915</t>
  </si>
  <si>
    <t>B48066419</t>
  </si>
  <si>
    <t>A28791069</t>
  </si>
  <si>
    <t>B48172332</t>
  </si>
  <si>
    <t>A95663852</t>
  </si>
  <si>
    <t>B95431367</t>
  </si>
  <si>
    <t>A48731400</t>
  </si>
  <si>
    <t>B48902688</t>
  </si>
  <si>
    <t>B48583223</t>
  </si>
  <si>
    <t>A48183222</t>
  </si>
  <si>
    <t>A48121826</t>
  </si>
  <si>
    <t>A48053508</t>
  </si>
  <si>
    <t>A48790448</t>
  </si>
  <si>
    <t>A08472276</t>
  </si>
  <si>
    <t>F48736540</t>
  </si>
  <si>
    <t>B48093405</t>
  </si>
  <si>
    <t>A48174023</t>
  </si>
  <si>
    <t>A08205056</t>
  </si>
  <si>
    <t>B95409504</t>
  </si>
  <si>
    <t>A48714489</t>
  </si>
  <si>
    <t>B48967921</t>
  </si>
  <si>
    <t>B48994214</t>
  </si>
  <si>
    <t>B95090643</t>
  </si>
  <si>
    <t>A48280770</t>
  </si>
  <si>
    <t>A48269179</t>
  </si>
  <si>
    <t>B95065652</t>
  </si>
  <si>
    <t>B48982052</t>
  </si>
  <si>
    <t>B95262242</t>
  </si>
  <si>
    <t>F48022677</t>
  </si>
  <si>
    <t>B95806220</t>
  </si>
  <si>
    <t>B48863930</t>
  </si>
  <si>
    <t>B95302204</t>
  </si>
  <si>
    <t>A48118095</t>
  </si>
  <si>
    <t>LOIU</t>
  </si>
  <si>
    <t>B48757322</t>
  </si>
  <si>
    <t>B48947618</t>
  </si>
  <si>
    <t>B95329959</t>
  </si>
  <si>
    <t>B95042313</t>
  </si>
  <si>
    <t>A48181911</t>
  </si>
  <si>
    <t>B48210645</t>
  </si>
  <si>
    <t>B95832689</t>
  </si>
  <si>
    <t>B48173124</t>
  </si>
  <si>
    <t>A48027171</t>
  </si>
  <si>
    <t>B95427746</t>
  </si>
  <si>
    <t>B48480529</t>
  </si>
  <si>
    <t>B48434096</t>
  </si>
  <si>
    <t>B48485833</t>
  </si>
  <si>
    <t>A48243471</t>
  </si>
  <si>
    <t>B95349072</t>
  </si>
  <si>
    <t>A48924294</t>
  </si>
  <si>
    <t>B95424297</t>
  </si>
  <si>
    <t>A48418636</t>
  </si>
  <si>
    <t>B48241483</t>
  </si>
  <si>
    <t>GORDEXOLA</t>
  </si>
  <si>
    <t>B95516910</t>
  </si>
  <si>
    <t>A48486518</t>
  </si>
  <si>
    <t>LARRABETZU</t>
  </si>
  <si>
    <t>A48265698</t>
  </si>
  <si>
    <t>A48108021</t>
  </si>
  <si>
    <t>A48158877</t>
  </si>
  <si>
    <t>B95041596</t>
  </si>
  <si>
    <t>A95021879</t>
  </si>
  <si>
    <t>A48087126</t>
  </si>
  <si>
    <t>LEZAMA</t>
  </si>
  <si>
    <t>A48020580</t>
  </si>
  <si>
    <t>A48295828</t>
  </si>
  <si>
    <t>DURANGO</t>
  </si>
  <si>
    <t>B48296354</t>
  </si>
  <si>
    <t>B95847430</t>
  </si>
  <si>
    <t>A48007223</t>
  </si>
  <si>
    <t>B48301329</t>
  </si>
  <si>
    <t>B20672382</t>
  </si>
  <si>
    <t>B95324075</t>
  </si>
  <si>
    <t>B48448062</t>
  </si>
  <si>
    <t>B95545596</t>
  </si>
  <si>
    <t>A48176978</t>
  </si>
  <si>
    <t>B48855274</t>
  </si>
  <si>
    <t>IURRETA</t>
  </si>
  <si>
    <t>B95728200</t>
  </si>
  <si>
    <t>A48716633</t>
  </si>
  <si>
    <t>B95267670</t>
  </si>
  <si>
    <t>B48986921</t>
  </si>
  <si>
    <t>B48540223</t>
  </si>
  <si>
    <t>B48069546</t>
  </si>
  <si>
    <t>A48239479</t>
  </si>
  <si>
    <t>B48427736</t>
  </si>
  <si>
    <t>B95028577</t>
  </si>
  <si>
    <t>B48481014</t>
  </si>
  <si>
    <t>A48540967</t>
  </si>
  <si>
    <t>ABADIÑO</t>
  </si>
  <si>
    <t>B95017158</t>
  </si>
  <si>
    <t>B48812952</t>
  </si>
  <si>
    <t>B48561732</t>
  </si>
  <si>
    <t>B95791984</t>
  </si>
  <si>
    <t>B48712368</t>
  </si>
  <si>
    <t>A48093421</t>
  </si>
  <si>
    <t>A48438493</t>
  </si>
  <si>
    <t>A95684122</t>
  </si>
  <si>
    <t>B85750172</t>
  </si>
  <si>
    <t>A01003177</t>
  </si>
  <si>
    <t>A08426470</t>
  </si>
  <si>
    <t>B48884092</t>
  </si>
  <si>
    <t>B95340576</t>
  </si>
  <si>
    <t>B48223903</t>
  </si>
  <si>
    <t>B48915755</t>
  </si>
  <si>
    <t>ELORRIO</t>
  </si>
  <si>
    <t>B95164992</t>
  </si>
  <si>
    <t>A48653638</t>
  </si>
  <si>
    <t>B48100390</t>
  </si>
  <si>
    <t>A20075800</t>
  </si>
  <si>
    <t>B48438758</t>
  </si>
  <si>
    <t>BERRIZ</t>
  </si>
  <si>
    <t>B95219101</t>
  </si>
  <si>
    <t>B95533394</t>
  </si>
  <si>
    <t>A48125959</t>
  </si>
  <si>
    <t>A48055396</t>
  </si>
  <si>
    <t>B48543565</t>
  </si>
  <si>
    <t>B48841399</t>
  </si>
  <si>
    <t>ZALDIBAR</t>
  </si>
  <si>
    <t>B95784914</t>
  </si>
  <si>
    <t>B48029144</t>
  </si>
  <si>
    <t>B48948293</t>
  </si>
  <si>
    <t>B95750444</t>
  </si>
  <si>
    <t>A48107346</t>
  </si>
  <si>
    <t>ERMUA</t>
  </si>
  <si>
    <t>B48132427</t>
  </si>
  <si>
    <t>A48093488</t>
  </si>
  <si>
    <t>A48146401</t>
  </si>
  <si>
    <t>B95543625</t>
  </si>
  <si>
    <t>MALLABIA</t>
  </si>
  <si>
    <t>A48712343</t>
  </si>
  <si>
    <t>A46000881</t>
  </si>
  <si>
    <t>B48258008</t>
  </si>
  <si>
    <t>B20173936</t>
  </si>
  <si>
    <t>B95399705</t>
  </si>
  <si>
    <t>B95425468</t>
  </si>
  <si>
    <t>MARKINA-XEMEIN</t>
  </si>
  <si>
    <t>B48885933</t>
  </si>
  <si>
    <t>B48024848</t>
  </si>
  <si>
    <t>F48135321</t>
  </si>
  <si>
    <t>B95132221</t>
  </si>
  <si>
    <t>B95348256</t>
  </si>
  <si>
    <t>ETXEBARRIA</t>
  </si>
  <si>
    <t>B95133088</t>
  </si>
  <si>
    <t>LEKEITIO</t>
  </si>
  <si>
    <t>B95509196</t>
  </si>
  <si>
    <t>GIZABURUAGA</t>
  </si>
  <si>
    <t>A48417885</t>
  </si>
  <si>
    <t>AMOROTO</t>
  </si>
  <si>
    <t>B82796384</t>
  </si>
  <si>
    <t>ATXONDO</t>
  </si>
  <si>
    <t>A48184410</t>
  </si>
  <si>
    <t>B48835250</t>
  </si>
  <si>
    <t>B95593117</t>
  </si>
  <si>
    <t>B95357554</t>
  </si>
  <si>
    <t>B95775961</t>
  </si>
  <si>
    <t>GERNIKA-LUMO</t>
  </si>
  <si>
    <t>B95501482</t>
  </si>
  <si>
    <t>A48114334</t>
  </si>
  <si>
    <t>B95830741</t>
  </si>
  <si>
    <t>A48100804</t>
  </si>
  <si>
    <t>B48485098</t>
  </si>
  <si>
    <t>B48863104</t>
  </si>
  <si>
    <t>A48101521</t>
  </si>
  <si>
    <t>B95527271</t>
  </si>
  <si>
    <t>A95547147</t>
  </si>
  <si>
    <t>B48271530</t>
  </si>
  <si>
    <t>B95101945</t>
  </si>
  <si>
    <t>A48105548</t>
  </si>
  <si>
    <t>B95220323</t>
  </si>
  <si>
    <t>GAUTEGIZ ARTEAGA</t>
  </si>
  <si>
    <t>B95244521</t>
  </si>
  <si>
    <t>LEMOA</t>
  </si>
  <si>
    <t>A95424016</t>
  </si>
  <si>
    <t>B48460885</t>
  </si>
  <si>
    <t>A95209037</t>
  </si>
  <si>
    <t>B95358610</t>
  </si>
  <si>
    <t>A08687204</t>
  </si>
  <si>
    <t>B48997100</t>
  </si>
  <si>
    <t>A95118501</t>
  </si>
  <si>
    <t>B95094025</t>
  </si>
  <si>
    <t>B95096731</t>
  </si>
  <si>
    <t>B95377743</t>
  </si>
  <si>
    <t>B97011365</t>
  </si>
  <si>
    <t>A48092886</t>
  </si>
  <si>
    <t>B48644231</t>
  </si>
  <si>
    <t>B95521266</t>
  </si>
  <si>
    <t>AMOREBIETA-ETXANO</t>
  </si>
  <si>
    <t>B95630372</t>
  </si>
  <si>
    <t>B95512992</t>
  </si>
  <si>
    <t>A48551030</t>
  </si>
  <si>
    <t>B48435499</t>
  </si>
  <si>
    <t>B95522439</t>
  </si>
  <si>
    <t>B39648811</t>
  </si>
  <si>
    <t>B95547220</t>
  </si>
  <si>
    <t>B95830337</t>
  </si>
  <si>
    <t>B48858708</t>
  </si>
  <si>
    <t>B95517835</t>
  </si>
  <si>
    <t>B95876264</t>
  </si>
  <si>
    <t>B95824975</t>
  </si>
  <si>
    <t>BASAURI</t>
  </si>
  <si>
    <t>B95685475</t>
  </si>
  <si>
    <t>B48164602</t>
  </si>
  <si>
    <t>B95298014</t>
  </si>
  <si>
    <t>B95277281</t>
  </si>
  <si>
    <t>B95575783</t>
  </si>
  <si>
    <t>B48149173</t>
  </si>
  <si>
    <t>B48993000</t>
  </si>
  <si>
    <t>B48166573</t>
  </si>
  <si>
    <t>G48562698</t>
  </si>
  <si>
    <t>A48217962</t>
  </si>
  <si>
    <t>B48301477</t>
  </si>
  <si>
    <t>A48532386</t>
  </si>
  <si>
    <t>B48467278</t>
  </si>
  <si>
    <t>B95631925</t>
  </si>
  <si>
    <t>B95632485</t>
  </si>
  <si>
    <t>B48148472</t>
  </si>
  <si>
    <t>B95684114</t>
  </si>
  <si>
    <t>B95239463</t>
  </si>
  <si>
    <t>B48522684</t>
  </si>
  <si>
    <t>B95287033</t>
  </si>
  <si>
    <t>B95265260</t>
  </si>
  <si>
    <t>B95293494</t>
  </si>
  <si>
    <t>B48546055</t>
  </si>
  <si>
    <t>B48443956</t>
  </si>
  <si>
    <t>B95150355</t>
  </si>
  <si>
    <t>BERMEO</t>
  </si>
  <si>
    <t>A48168918</t>
  </si>
  <si>
    <t>B95374013</t>
  </si>
  <si>
    <t>B01377308</t>
  </si>
  <si>
    <t>B95395372</t>
  </si>
  <si>
    <t>B95847828</t>
  </si>
  <si>
    <t>MENDATA</t>
  </si>
  <si>
    <t>BEDIA</t>
  </si>
  <si>
    <t>A48150114</t>
  </si>
  <si>
    <t>A48021232</t>
  </si>
  <si>
    <t>A48144323</t>
  </si>
  <si>
    <t>OROZKO</t>
  </si>
  <si>
    <t>B95427290</t>
  </si>
  <si>
    <t>A48163489</t>
  </si>
  <si>
    <t>B95063012</t>
  </si>
  <si>
    <t>ETXEBARRI</t>
  </si>
  <si>
    <t>B48183289</t>
  </si>
  <si>
    <t>B48715056</t>
  </si>
  <si>
    <t>B95580023</t>
  </si>
  <si>
    <t>B48708176</t>
  </si>
  <si>
    <t>B48854970</t>
  </si>
  <si>
    <t>B95530655</t>
  </si>
  <si>
    <t>B95727921</t>
  </si>
  <si>
    <t>A48088520</t>
  </si>
  <si>
    <t>B48514590</t>
  </si>
  <si>
    <t>B95062337</t>
  </si>
  <si>
    <t>B82516600</t>
  </si>
  <si>
    <t>B95032934</t>
  </si>
  <si>
    <t>A95636734</t>
  </si>
  <si>
    <t>B48792626</t>
  </si>
  <si>
    <t>A48066336</t>
  </si>
  <si>
    <t>A48418628</t>
  </si>
  <si>
    <t>B48075071</t>
  </si>
  <si>
    <t>B48451587</t>
  </si>
  <si>
    <t>B95285722</t>
  </si>
  <si>
    <t>B48521512</t>
  </si>
  <si>
    <t>ARRIGORRIAGA</t>
  </si>
  <si>
    <t>B95391231</t>
  </si>
  <si>
    <t>ZARATAMO</t>
  </si>
  <si>
    <t>B95870572</t>
  </si>
  <si>
    <t>B95709598</t>
  </si>
  <si>
    <t>B48793665</t>
  </si>
  <si>
    <t>B48132930</t>
  </si>
  <si>
    <t>B95321535</t>
  </si>
  <si>
    <t>B95391371</t>
  </si>
  <si>
    <t>B95383352</t>
  </si>
  <si>
    <t>A48285746</t>
  </si>
  <si>
    <t>B95146213</t>
  </si>
  <si>
    <t>B48026140</t>
  </si>
  <si>
    <t>B95009080</t>
  </si>
  <si>
    <t>B95701827</t>
  </si>
  <si>
    <t>B62219290</t>
  </si>
  <si>
    <t>B48722904</t>
  </si>
  <si>
    <t>A48288088</t>
  </si>
  <si>
    <t>A48131114</t>
  </si>
  <si>
    <t>B95108114</t>
  </si>
  <si>
    <t>B48811293</t>
  </si>
  <si>
    <t>B95032033</t>
  </si>
  <si>
    <t>B95293957</t>
  </si>
  <si>
    <t>B95582458</t>
  </si>
  <si>
    <t>B48244503</t>
  </si>
  <si>
    <t>UGAO-MIRABALLES</t>
  </si>
  <si>
    <t>B95303442</t>
  </si>
  <si>
    <t>ARRANKUDIAGA</t>
  </si>
  <si>
    <t>B48091516</t>
  </si>
  <si>
    <t>A48250351</t>
  </si>
  <si>
    <t>B48094288</t>
  </si>
  <si>
    <t>B48959456</t>
  </si>
  <si>
    <t>A48141857</t>
  </si>
  <si>
    <t>A48455299</t>
  </si>
  <si>
    <t>ZIERBENA</t>
  </si>
  <si>
    <t>B95799664</t>
  </si>
  <si>
    <t>A95692083</t>
  </si>
  <si>
    <t>B95131835</t>
  </si>
  <si>
    <t>B95472759</t>
  </si>
  <si>
    <t>B95293205</t>
  </si>
  <si>
    <t>A40007460</t>
  </si>
  <si>
    <t>A48047450</t>
  </si>
  <si>
    <t>B95840542</t>
  </si>
  <si>
    <t>B95762175</t>
  </si>
  <si>
    <t>B95237053</t>
  </si>
  <si>
    <t>A48265813</t>
  </si>
  <si>
    <t>B60899390</t>
  </si>
  <si>
    <t>B95735437</t>
  </si>
  <si>
    <t>F48427538</t>
  </si>
  <si>
    <t>B95214680</t>
  </si>
  <si>
    <t>A48084784</t>
  </si>
  <si>
    <t>B48059554</t>
  </si>
  <si>
    <t>ORTUELLA</t>
  </si>
  <si>
    <t>B95492674</t>
  </si>
  <si>
    <t>B48961916</t>
  </si>
  <si>
    <t>A48015002</t>
  </si>
  <si>
    <t>B80451545</t>
  </si>
  <si>
    <t>B48165856</t>
  </si>
  <si>
    <t>MUSKIZ</t>
  </si>
  <si>
    <t>B95617486</t>
  </si>
  <si>
    <t>A48227920</t>
  </si>
  <si>
    <t>B95797965</t>
  </si>
  <si>
    <t>A48427660</t>
  </si>
  <si>
    <t>GORLIZ</t>
  </si>
  <si>
    <t>B95184198</t>
  </si>
  <si>
    <t>BERANGO</t>
  </si>
  <si>
    <t>B95746129</t>
  </si>
  <si>
    <t>B48110365</t>
  </si>
  <si>
    <t>BERRIATUA</t>
  </si>
  <si>
    <t>F48060289</t>
  </si>
  <si>
    <t>ALONSOTEGI</t>
  </si>
  <si>
    <t>B48221246</t>
  </si>
  <si>
    <t>B95019212</t>
  </si>
  <si>
    <t>B48584999</t>
  </si>
  <si>
    <t>GUEÑES</t>
  </si>
  <si>
    <t>B48889976</t>
  </si>
  <si>
    <t>B95730255</t>
  </si>
  <si>
    <t>B48868848</t>
  </si>
  <si>
    <t>ZALLA</t>
  </si>
  <si>
    <t>A48263032</t>
  </si>
  <si>
    <t>B48105696</t>
  </si>
  <si>
    <t>B48943666</t>
  </si>
  <si>
    <t>B48935720</t>
  </si>
  <si>
    <t>A48028930</t>
  </si>
  <si>
    <t>B48974067</t>
  </si>
  <si>
    <t>B95592929</t>
  </si>
  <si>
    <t>B95725503</t>
  </si>
  <si>
    <t>B48234256</t>
  </si>
  <si>
    <t>BARAKALDO</t>
  </si>
  <si>
    <t>B95486338</t>
  </si>
  <si>
    <t>B95709515</t>
  </si>
  <si>
    <t>A95135984</t>
  </si>
  <si>
    <t>B48854814</t>
  </si>
  <si>
    <t>B95188025</t>
  </si>
  <si>
    <t>A59202861</t>
  </si>
  <si>
    <t>A95625042</t>
  </si>
  <si>
    <t>B95079844</t>
  </si>
  <si>
    <t>A48143770</t>
  </si>
  <si>
    <t>B48428403</t>
  </si>
  <si>
    <t>B48582274</t>
  </si>
  <si>
    <t>B95725768</t>
  </si>
  <si>
    <t>B39008404</t>
  </si>
  <si>
    <t>B48451405</t>
  </si>
  <si>
    <t>B48053359</t>
  </si>
  <si>
    <t>B95379012</t>
  </si>
  <si>
    <t>B84213420</t>
  </si>
  <si>
    <t>B95148730</t>
  </si>
  <si>
    <t>SESTAO</t>
  </si>
  <si>
    <t>A48092423</t>
  </si>
  <si>
    <t>B48436331</t>
  </si>
  <si>
    <t>PORTUGALETE</t>
  </si>
  <si>
    <t>B48550073</t>
  </si>
  <si>
    <t>B48178784</t>
  </si>
  <si>
    <t>B48551980</t>
  </si>
  <si>
    <t>B48781876</t>
  </si>
  <si>
    <t>GETXO</t>
  </si>
  <si>
    <t>B48455729</t>
  </si>
  <si>
    <t>B95395638</t>
  </si>
  <si>
    <t>B48081715</t>
  </si>
  <si>
    <t>B95479366</t>
  </si>
  <si>
    <t>LEIOA</t>
  </si>
  <si>
    <t>A28318012</t>
  </si>
  <si>
    <t>A48072367</t>
  </si>
  <si>
    <t>A48272827</t>
  </si>
  <si>
    <t>B48484166</t>
  </si>
  <si>
    <t>A48081152</t>
  </si>
  <si>
    <t>B95180527</t>
  </si>
  <si>
    <t>B92203124</t>
  </si>
  <si>
    <t>B48075782</t>
  </si>
  <si>
    <t>A48272587</t>
  </si>
  <si>
    <t>B95221602</t>
  </si>
  <si>
    <t>B95671889</t>
  </si>
  <si>
    <t>B95472965</t>
  </si>
  <si>
    <t>ERANDIO</t>
  </si>
  <si>
    <t>A48578496</t>
  </si>
  <si>
    <t>B48609069</t>
  </si>
  <si>
    <t>A48647291</t>
  </si>
  <si>
    <t>B95368809</t>
  </si>
  <si>
    <t>B95490108</t>
  </si>
  <si>
    <t>A95067914</t>
  </si>
  <si>
    <t>B95375960</t>
  </si>
  <si>
    <t>A48178024</t>
  </si>
  <si>
    <t>A48206072</t>
  </si>
  <si>
    <t>B95590808</t>
  </si>
  <si>
    <t>A48140669</t>
  </si>
  <si>
    <t>A48012785</t>
  </si>
  <si>
    <t>B48185813</t>
  </si>
  <si>
    <t>B48804108</t>
  </si>
  <si>
    <t>A48240584</t>
  </si>
  <si>
    <t>A48027098</t>
  </si>
  <si>
    <t>B48949010</t>
  </si>
  <si>
    <t>B48080501</t>
  </si>
  <si>
    <t>B48063135</t>
  </si>
  <si>
    <t>B48419378</t>
  </si>
  <si>
    <t>A48220370</t>
  </si>
  <si>
    <t>A48104384</t>
  </si>
  <si>
    <t>B95632345</t>
  </si>
  <si>
    <t>B48309041</t>
  </si>
  <si>
    <t>A48083927</t>
  </si>
  <si>
    <t>B48045447</t>
  </si>
  <si>
    <t>GALDAKAO</t>
  </si>
  <si>
    <t>B95685798</t>
  </si>
  <si>
    <t>A95328597</t>
  </si>
  <si>
    <t>B95755740</t>
  </si>
  <si>
    <t>B71208912</t>
  </si>
  <si>
    <t>B48268486</t>
  </si>
  <si>
    <t>A48523997</t>
  </si>
  <si>
    <t>B95322335</t>
  </si>
  <si>
    <t>B48860068</t>
  </si>
  <si>
    <t>A48644264</t>
  </si>
  <si>
    <t>B39723101</t>
  </si>
  <si>
    <t>B95175865</t>
  </si>
  <si>
    <t>B95105904</t>
  </si>
  <si>
    <t>A48287536</t>
  </si>
  <si>
    <t>B48305908</t>
  </si>
  <si>
    <t>B95103065</t>
  </si>
  <si>
    <t>B95868162</t>
  </si>
  <si>
    <t>B95005286</t>
  </si>
  <si>
    <t>B48272611</t>
  </si>
  <si>
    <t>A48953095</t>
  </si>
  <si>
    <t>B28279511</t>
  </si>
  <si>
    <t>A48106330</t>
  </si>
  <si>
    <t>B95003992</t>
  </si>
  <si>
    <t>B48186118</t>
  </si>
  <si>
    <t>A28857274</t>
  </si>
  <si>
    <t>B95146312</t>
  </si>
  <si>
    <t>A48172522</t>
  </si>
  <si>
    <t>B95010963</t>
  </si>
  <si>
    <t>A48108062</t>
  </si>
  <si>
    <t>B95325841</t>
  </si>
  <si>
    <t>B95137386</t>
  </si>
  <si>
    <t>B48304091</t>
  </si>
  <si>
    <t>B95057915</t>
  </si>
  <si>
    <t>A48104764</t>
  </si>
  <si>
    <t>B48027866</t>
  </si>
  <si>
    <t>A48114292</t>
  </si>
  <si>
    <t>A64644941</t>
  </si>
  <si>
    <t>A95041323</t>
  </si>
  <si>
    <t>B95197497</t>
  </si>
  <si>
    <t>B48201743</t>
  </si>
  <si>
    <t>A48271803</t>
  </si>
  <si>
    <t>B95422788</t>
  </si>
  <si>
    <t>B95594685</t>
  </si>
  <si>
    <t>B48449995</t>
  </si>
  <si>
    <t>B95502316</t>
  </si>
  <si>
    <t>B95195657</t>
  </si>
  <si>
    <t>B95578167</t>
  </si>
  <si>
    <t>B48556971</t>
  </si>
  <si>
    <t>B95291860</t>
  </si>
  <si>
    <t>B95110052</t>
  </si>
  <si>
    <t>B48785810</t>
  </si>
  <si>
    <t>A48068373</t>
  </si>
  <si>
    <t>A48047567</t>
  </si>
  <si>
    <t>A48145932</t>
  </si>
  <si>
    <t>B95064077</t>
  </si>
  <si>
    <t>B48435812</t>
  </si>
  <si>
    <t>B48564025</t>
  </si>
  <si>
    <t>B95369096</t>
  </si>
  <si>
    <t>B48442826</t>
  </si>
  <si>
    <t>A48450456</t>
  </si>
  <si>
    <t>B20164489</t>
  </si>
  <si>
    <t>B48981971</t>
  </si>
  <si>
    <t>B48861777</t>
  </si>
  <si>
    <t>SANTURTZI</t>
  </si>
  <si>
    <t>A48280952</t>
  </si>
  <si>
    <t>B48928782</t>
  </si>
  <si>
    <t>B48826374</t>
  </si>
  <si>
    <t>Ultimo año disponible</t>
  </si>
  <si>
    <t>Impuestos sobre sociedades
mil EUR
Últ. año disp.</t>
  </si>
  <si>
    <t>Resultado del Ejercicio
mil EUR
Últ. año disp.</t>
  </si>
  <si>
    <t>ESPANA</t>
  </si>
  <si>
    <t>VALENCIA</t>
  </si>
  <si>
    <t>ALCOBENDAS</t>
  </si>
  <si>
    <t>EDP COMERCIALIZADORA SOCIEDAD ANONIMA.</t>
  </si>
  <si>
    <t>SCHINDLER, SA</t>
  </si>
  <si>
    <t>ZARAGOZA</t>
  </si>
  <si>
    <t>SEUR GEOPOST SLU</t>
  </si>
  <si>
    <t>DACHSER SPAIN SA.</t>
  </si>
  <si>
    <t>DHL EXPRESS SPAIN SLU</t>
  </si>
  <si>
    <t>13.</t>
  </si>
  <si>
    <t>EUSKALTEL SA</t>
  </si>
  <si>
    <t>14.</t>
  </si>
  <si>
    <t>WURTH ESPAÑA SA</t>
  </si>
  <si>
    <t>PALAU-SOLITA I PLEGAMANS</t>
  </si>
  <si>
    <t>15.</t>
  </si>
  <si>
    <t>INGETEAM POWER TECHNOLOGY SA</t>
  </si>
  <si>
    <t>16.</t>
  </si>
  <si>
    <t>SUPERMERCADOS ERCORECA SOCIEDAD ANONIMA</t>
  </si>
  <si>
    <t>17.</t>
  </si>
  <si>
    <t>CESPA GESTION DE RESIDUOS SA</t>
  </si>
  <si>
    <t>18.</t>
  </si>
  <si>
    <t>SCHAEFFLER IBERIA SLU.</t>
  </si>
  <si>
    <t>19.</t>
  </si>
  <si>
    <t>GUREAK LANEAN SA.</t>
  </si>
  <si>
    <t>DONOSTIA/SAN SEBASTIAN</t>
  </si>
  <si>
    <t>20.</t>
  </si>
  <si>
    <t>CANON ESPAÑA SA</t>
  </si>
  <si>
    <t>21.</t>
  </si>
  <si>
    <t>ESERGUI DISTESER SOCIEDAD LIMITADA.</t>
  </si>
  <si>
    <t>22.</t>
  </si>
  <si>
    <t>GENERAL OPTICA SA</t>
  </si>
  <si>
    <t>CORNELLA DE LLOBREGAT</t>
  </si>
  <si>
    <t>23.</t>
  </si>
  <si>
    <t>CIKAUTXO S.COOP</t>
  </si>
  <si>
    <t>24.</t>
  </si>
  <si>
    <t>CORREOS EXPRESS PAQUETERIA URGENTE SA SME</t>
  </si>
  <si>
    <t>COSLADA</t>
  </si>
  <si>
    <t>25.</t>
  </si>
  <si>
    <t>CARREFOUR NORTE SOCIEDAD LIMITADA</t>
  </si>
  <si>
    <t>26.</t>
  </si>
  <si>
    <t>UVESCAYA SOCIEDAD LIMITADA (EXTINGUIDA)</t>
  </si>
  <si>
    <t>27.</t>
  </si>
  <si>
    <t>ULMA PACKAGING SDAD COOP</t>
  </si>
  <si>
    <t>28.</t>
  </si>
  <si>
    <t>EDERFIL BECKER KOOP ELKARTEA</t>
  </si>
  <si>
    <t>LEGORRETA</t>
  </si>
  <si>
    <t>29.</t>
  </si>
  <si>
    <t>TOYOTA MATERIAL HANDLING ESPAÑA SA</t>
  </si>
  <si>
    <t>BARBERA DEL VALLES</t>
  </si>
  <si>
    <t>30.</t>
  </si>
  <si>
    <t>PERNOD RICARD WINEMAKERS SPAIN SA.</t>
  </si>
  <si>
    <t>DONOSTIA-SAN SEBASTIAN</t>
  </si>
  <si>
    <t>31.</t>
  </si>
  <si>
    <t>PREMAP SEGURIDAD Y SALUD SOCIEDAD LIMITADA. (EXTINGUIDA)</t>
  </si>
  <si>
    <t>LAS ROZAS DE MADRID</t>
  </si>
  <si>
    <t>32.</t>
  </si>
  <si>
    <t>ELEKTRA SA</t>
  </si>
  <si>
    <t>33.</t>
  </si>
  <si>
    <t>TIBA SPAIN SA.</t>
  </si>
  <si>
    <t>34.</t>
  </si>
  <si>
    <t>ESPECIALIDADES ELECTRICAS LAUSAN SOCIEDAD ANONIMA</t>
  </si>
  <si>
    <t>35.</t>
  </si>
  <si>
    <t>FORUM SPORT SOCIEDAD ANONIMA</t>
  </si>
  <si>
    <t>36.</t>
  </si>
  <si>
    <t>HIJOS DE JUAN DE GARAY, SA</t>
  </si>
  <si>
    <t>37.</t>
  </si>
  <si>
    <t>BERALAN SL</t>
  </si>
  <si>
    <t>38.</t>
  </si>
  <si>
    <t>SGS TECNOS SA</t>
  </si>
  <si>
    <t>39.</t>
  </si>
  <si>
    <t>UDAL SAREAK SOCIEDAD ANONIMA</t>
  </si>
  <si>
    <t>40.</t>
  </si>
  <si>
    <t>IKEA NORTE SL</t>
  </si>
  <si>
    <t>41.</t>
  </si>
  <si>
    <t>TALLERES DE ESCORIAZA SAU</t>
  </si>
  <si>
    <t>42.</t>
  </si>
  <si>
    <t>KONE ELEVADORES SA</t>
  </si>
  <si>
    <t>43.</t>
  </si>
  <si>
    <t>GAURSA AUTOAK SOCIEDAD LIMITADA</t>
  </si>
  <si>
    <t>44.</t>
  </si>
  <si>
    <t>ARCELORMITTAL DISTRIBUCION NORTE SOCIEDAD LIMITADA</t>
  </si>
  <si>
    <t>45.</t>
  </si>
  <si>
    <t>ELECTROTECNICA ARTECHE HERMANOS SL</t>
  </si>
  <si>
    <t>46.</t>
  </si>
  <si>
    <t>ELIS MANOMATIC SAU</t>
  </si>
  <si>
    <t>SANT CUGAT DEL VALLES</t>
  </si>
  <si>
    <t>47.</t>
  </si>
  <si>
    <t>ACEROS IMS INT SA</t>
  </si>
  <si>
    <t>48.</t>
  </si>
  <si>
    <t>CARTONAJES INTERNATIONAL SL</t>
  </si>
  <si>
    <t>49.</t>
  </si>
  <si>
    <t>BRAMMER IBERIA SOCIEDAD ANONIMA</t>
  </si>
  <si>
    <t>50.</t>
  </si>
  <si>
    <t>MANUFACTURAS ELECTRICAS SOCIEDAD ANONIMA</t>
  </si>
  <si>
    <t>51.</t>
  </si>
  <si>
    <t>AMARA SOCIEDAD ANONIMA</t>
  </si>
  <si>
    <t>52.</t>
  </si>
  <si>
    <t>TUV SUD ATISAE SAU</t>
  </si>
  <si>
    <t>TRES CANTOS</t>
  </si>
  <si>
    <t>53.</t>
  </si>
  <si>
    <t>ZF SACHS ESPANA SOCIEDAD ANONIMA UNIPERSONAL</t>
  </si>
  <si>
    <t>54.</t>
  </si>
  <si>
    <t>PLASTIGAUR SA</t>
  </si>
  <si>
    <t>55.</t>
  </si>
  <si>
    <t>DIARIO EL CORREO SOCIEDAD ANONIMA</t>
  </si>
  <si>
    <t>56.</t>
  </si>
  <si>
    <t>SUMOIL SA (EXTINGUIDA)</t>
  </si>
  <si>
    <t>MEÑAKA</t>
  </si>
  <si>
    <t>57.</t>
  </si>
  <si>
    <t>UNION PAPELERA MERCHANTING SL</t>
  </si>
  <si>
    <t>GETAFE</t>
  </si>
  <si>
    <t>58.</t>
  </si>
  <si>
    <t>VIZCAINA DE INDUSTRIA Y COMERCIO SA</t>
  </si>
  <si>
    <t>59.</t>
  </si>
  <si>
    <t>SERVICIOS EMPRESARIALES ADER SA</t>
  </si>
  <si>
    <t>A62650569</t>
  </si>
  <si>
    <t>BARCELONA</t>
  </si>
  <si>
    <t>60.</t>
  </si>
  <si>
    <t>GENERAL LOGISTICS SYSTEMS SPAIN SL (EXTINGUIDA)</t>
  </si>
  <si>
    <t>SANTA PERPETUA DE MOGODA</t>
  </si>
  <si>
    <t>61.</t>
  </si>
  <si>
    <t>EUROCONTROL SA</t>
  </si>
  <si>
    <t>62.</t>
  </si>
  <si>
    <t>TUBOPLAST HISPANIA SA</t>
  </si>
  <si>
    <t>63.</t>
  </si>
  <si>
    <t>DIBAL SOCIEDAD ANONIMA</t>
  </si>
  <si>
    <t>64.</t>
  </si>
  <si>
    <t>PRONUTEC SA</t>
  </si>
  <si>
    <t>65.</t>
  </si>
  <si>
    <t>INTERNATIONAL BRON METAL SOCIEDAD ANONIMA.</t>
  </si>
  <si>
    <t>66.</t>
  </si>
  <si>
    <t>THYSSENKRUPP PLASTIC IBERICA SL</t>
  </si>
  <si>
    <t>MASSALFASSAR</t>
  </si>
  <si>
    <t>67.</t>
  </si>
  <si>
    <t>STAPLES PRODUCTOS DE OFICINA SOCIEDAD LIMITADA</t>
  </si>
  <si>
    <t>68.</t>
  </si>
  <si>
    <t>GASTRONOMIA CANTABRICA SOCIEDAD LIMITADA</t>
  </si>
  <si>
    <t>69.</t>
  </si>
  <si>
    <t>DELTECO SAU</t>
  </si>
  <si>
    <t>70.</t>
  </si>
  <si>
    <t>DIALOGA SERVICIOS INTERACTIVOS SOCIEDAD ANONIMA</t>
  </si>
  <si>
    <t>71.</t>
  </si>
  <si>
    <t>GRUPO CORPORATIVO GFI NORTE SOCIEDAD LIMITADA</t>
  </si>
  <si>
    <t>72.</t>
  </si>
  <si>
    <t>SALTOKI BIZKAIA SA</t>
  </si>
  <si>
    <t>73.</t>
  </si>
  <si>
    <t>GARBIKER M. P. AB SOCIEDAD ANONIMA.</t>
  </si>
  <si>
    <t>74.</t>
  </si>
  <si>
    <t>RPK S.C.</t>
  </si>
  <si>
    <t>75.</t>
  </si>
  <si>
    <t>ACUMULADORES INDUSTRIALES ENERSYS SOCIEDAD ANONIMA</t>
  </si>
  <si>
    <t>76.</t>
  </si>
  <si>
    <t>ALMACENES SIDEROMETALURGICOS SA</t>
  </si>
  <si>
    <t>77.</t>
  </si>
  <si>
    <t>INDUSTRIAS MONTAÑESAS ELECTRICAS MECANICAS SL</t>
  </si>
  <si>
    <t>SANTANDER</t>
  </si>
  <si>
    <t>78.</t>
  </si>
  <si>
    <t>SUNRISE MEDICAL SOCIEDAD LIMITADA</t>
  </si>
  <si>
    <t>79.</t>
  </si>
  <si>
    <t>SUMINISTROS BEZABALA SOCIEDAD ANONIMA</t>
  </si>
  <si>
    <t>80.</t>
  </si>
  <si>
    <t>LEJARZA SOCIEDAD ANONIMA</t>
  </si>
  <si>
    <t>81.</t>
  </si>
  <si>
    <t>ELECTROTECNICA ARTECHE SMART GRID SOCIEDAD LIMITADA.</t>
  </si>
  <si>
    <t>82.</t>
  </si>
  <si>
    <t>TECNICHAPA SLU</t>
  </si>
  <si>
    <t>83.</t>
  </si>
  <si>
    <t>ALU STOCK SA</t>
  </si>
  <si>
    <t>84.</t>
  </si>
  <si>
    <t>BAIMEN SOCIEDAD ANONIMA</t>
  </si>
  <si>
    <t>85.</t>
  </si>
  <si>
    <t>IKUSI ELECTRONICA SL.</t>
  </si>
  <si>
    <t>86.</t>
  </si>
  <si>
    <t>AIRE COMPRIMIDO INDUSTRIAL IBERIA SL</t>
  </si>
  <si>
    <t>PINTO</t>
  </si>
  <si>
    <t>87.</t>
  </si>
  <si>
    <t>POLYPAL STORAGE SYSTEMS SA</t>
  </si>
  <si>
    <t>88.</t>
  </si>
  <si>
    <t>EUSKO IRRATIA-RADIODIFUSION VASCA SOCIEDAD ANONIMA</t>
  </si>
  <si>
    <t>89.</t>
  </si>
  <si>
    <t>CLARKE MODET Y COMPAÑIA SL</t>
  </si>
  <si>
    <t>90.</t>
  </si>
  <si>
    <t>MINTEGUI INDUSTRIAS DEL CAMION SA</t>
  </si>
  <si>
    <t>91.</t>
  </si>
  <si>
    <t>ULMA SERVICIOS DE MANUTENCION S.C.</t>
  </si>
  <si>
    <t>92.</t>
  </si>
  <si>
    <t>P4Q ELECTRONICS SOCIEDAD LIMITADA</t>
  </si>
  <si>
    <t>93.</t>
  </si>
  <si>
    <t>VENDOMAT INTERNATIONAL SA</t>
  </si>
  <si>
    <t>SANT FELIU DE LLOBREGAT</t>
  </si>
  <si>
    <t>94.</t>
  </si>
  <si>
    <t>OCA INSPECCION CONTROL Y PREVENCION SA.</t>
  </si>
  <si>
    <t>POZUELO DE ALARCON</t>
  </si>
  <si>
    <t>95.</t>
  </si>
  <si>
    <t>SOCIEDAD ANONIMA DE TALLERES DE MANIPULACION DE PAPEL</t>
  </si>
  <si>
    <t>96.</t>
  </si>
  <si>
    <t>FERRETERIA UNCETA SA</t>
  </si>
  <si>
    <t>97.</t>
  </si>
  <si>
    <t>ALMACENES ELECTRICOS VASCONGADOS, SA</t>
  </si>
  <si>
    <t>98.</t>
  </si>
  <si>
    <t>ALFA DECO SUBCONJUNTOS SOCIEDAD ANONIMA</t>
  </si>
  <si>
    <t>99.</t>
  </si>
  <si>
    <t>FRUTAS UDONDO SL</t>
  </si>
  <si>
    <t>100.</t>
  </si>
  <si>
    <t>SERVICIO DE CONTENEDORES HIGIENICOS SANITARIOS SAU</t>
  </si>
  <si>
    <t>101.</t>
  </si>
  <si>
    <t>SOCIEDAD DE BIENES DE EQUIPO LIGERO CONSTRUCCION Y ASESORAMIENTO SA</t>
  </si>
  <si>
    <t>102.</t>
  </si>
  <si>
    <t>TRANSPORTES GALLASTEGUI SL</t>
  </si>
  <si>
    <t>103.</t>
  </si>
  <si>
    <t>IGUALATORIO MEDICO QUIRURGICO PREVENCION SOCIEDAD LIMITADA.</t>
  </si>
  <si>
    <t>104.</t>
  </si>
  <si>
    <t>AYMA HERRAMIENTAS SL</t>
  </si>
  <si>
    <t>105.</t>
  </si>
  <si>
    <t>CONSTRUCCIONES OLABARRI SL</t>
  </si>
  <si>
    <t>106.</t>
  </si>
  <si>
    <t>LKS SCOOPL</t>
  </si>
  <si>
    <t>ARRASATE/MONDRAGON</t>
  </si>
  <si>
    <t>107.</t>
  </si>
  <si>
    <t>ESPECIALISTAS EN TRABAJO TEMPORAL EMPRESA DE TRABAJO TEMPORAL SOCIEDAD ANONIMA</t>
  </si>
  <si>
    <t>108.</t>
  </si>
  <si>
    <t>ACCESORIOS Y RECAMBIOS DE AUTOMOCION Y VEHICULOS INDUSTRIALES SA</t>
  </si>
  <si>
    <t>109.</t>
  </si>
  <si>
    <t>GASTRONOMIA VASCA SA</t>
  </si>
  <si>
    <t>110.</t>
  </si>
  <si>
    <t>PREMIRA ENERGIA NORTE SOCIEDAD LIMITADA.</t>
  </si>
  <si>
    <t>VALLE DE TRAPAGA-TRAPAGARAN</t>
  </si>
  <si>
    <t>111.</t>
  </si>
  <si>
    <t>TEKNIA BILBAO XXI SLU</t>
  </si>
  <si>
    <t>ABANTO CIERVANA/ABANTO ZIERBENA</t>
  </si>
  <si>
    <t>112.</t>
  </si>
  <si>
    <t>SARENET SOCIEDAD ANONIMA</t>
  </si>
  <si>
    <t>113.</t>
  </si>
  <si>
    <t>AXOR RENTALS SL</t>
  </si>
  <si>
    <t>114.</t>
  </si>
  <si>
    <t>CONSTRUCCIONES LASUEN SOCIEDAD ANONIMA</t>
  </si>
  <si>
    <t>115.</t>
  </si>
  <si>
    <t>AISLANTES SOLIDOS SLU</t>
  </si>
  <si>
    <t>116.</t>
  </si>
  <si>
    <t>INDESA 2010 SOCIEDAD LIMITADA</t>
  </si>
  <si>
    <t>117.</t>
  </si>
  <si>
    <t>PICTELIUM SOCIEDAD LIMITADA</t>
  </si>
  <si>
    <t>118.</t>
  </si>
  <si>
    <t>AGINTZARI SCOOPL</t>
  </si>
  <si>
    <t>119.</t>
  </si>
  <si>
    <t>DHL PARCEL BIZKAIA SPAIN SOCIEDAD LIMITADA.</t>
  </si>
  <si>
    <t>120.</t>
  </si>
  <si>
    <t>ALFA PRECISION CASTING SA. (EN LIQUIDACION)</t>
  </si>
  <si>
    <t>121.</t>
  </si>
  <si>
    <t>EUROPOLEO SOCIEDAD LIMITADA</t>
  </si>
  <si>
    <t>122.</t>
  </si>
  <si>
    <t>MEDIA MARKT BILBONDO VIDEO-TV-HIFI ELEKTRO-COMPUTER-FOTO SOCIEDAD ANONIMA</t>
  </si>
  <si>
    <t>123.</t>
  </si>
  <si>
    <t>FUNDICIONES URBINA SA (EN LIQUIDACION)</t>
  </si>
  <si>
    <t>LEGUTIO</t>
  </si>
  <si>
    <t>124.</t>
  </si>
  <si>
    <t>CELULOSAS VASCAS SOCIEDAD LIMITADA</t>
  </si>
  <si>
    <t>125.</t>
  </si>
  <si>
    <t>PLASTIBOR SL</t>
  </si>
  <si>
    <t>126.</t>
  </si>
  <si>
    <t>GOBESA SA</t>
  </si>
  <si>
    <t>127.</t>
  </si>
  <si>
    <t>ELDU, SA</t>
  </si>
  <si>
    <t>128.</t>
  </si>
  <si>
    <t>INDUSTRIAS OJA-REM SL</t>
  </si>
  <si>
    <t>129.</t>
  </si>
  <si>
    <t>GONVADOR SL</t>
  </si>
  <si>
    <t>130.</t>
  </si>
  <si>
    <t>INDUSTRIAS METALICAS DE GUIPUZCOA SA</t>
  </si>
  <si>
    <t>ORMAIZTEGI</t>
  </si>
  <si>
    <t>131.</t>
  </si>
  <si>
    <t>SUMINISTROS CLINICOS SANITARIOS SL</t>
  </si>
  <si>
    <t>132.</t>
  </si>
  <si>
    <t>LASER KEN SA</t>
  </si>
  <si>
    <t>133.</t>
  </si>
  <si>
    <t>CARTONAJES ERABIL SOCIEDAD ANONIMA</t>
  </si>
  <si>
    <t>134.</t>
  </si>
  <si>
    <t>BILBAO EXHIBITION CENTRE SOCIEDAD ANONIMA</t>
  </si>
  <si>
    <t>135.</t>
  </si>
  <si>
    <t>ZIGOR CORPORACION SA</t>
  </si>
  <si>
    <t>136.</t>
  </si>
  <si>
    <t>FORBRASS SOCIEDAD ANONIMA</t>
  </si>
  <si>
    <t>137.</t>
  </si>
  <si>
    <t>DELICASS SOCIEDAD DE ALIMENTACION SA</t>
  </si>
  <si>
    <t>138.</t>
  </si>
  <si>
    <t>MONTTE SL</t>
  </si>
  <si>
    <t>139.</t>
  </si>
  <si>
    <t>NEIKER INSTITUTO VASCO DE INVESTIGACION Y DESARROLLO AGRARIO SA</t>
  </si>
  <si>
    <t>140.</t>
  </si>
  <si>
    <t>AISLAMIENTOS ELECTRICOS FERTOR SOCIEDAD ANONIMA</t>
  </si>
  <si>
    <t>141.</t>
  </si>
  <si>
    <t>VASCOFRIGO SOCIEDAD LIMITADA</t>
  </si>
  <si>
    <t>142.</t>
  </si>
  <si>
    <t>EMAN INDUSTRIAS GRAFICAS SA</t>
  </si>
  <si>
    <t>143.</t>
  </si>
  <si>
    <t>NAIVAN TRANSFORMADOS METALICOS SOCIEDAD LIMITADA.</t>
  </si>
  <si>
    <t>144.</t>
  </si>
  <si>
    <t>EDITORIAL IPARRAGUIRRE, SA</t>
  </si>
  <si>
    <t>145.</t>
  </si>
  <si>
    <t>CAMARA OFICIAL DE COMERCIO INDUSTRIA Y N.</t>
  </si>
  <si>
    <t>146.</t>
  </si>
  <si>
    <t>BILOGISTIK SOCIEDAD ANONIMA.</t>
  </si>
  <si>
    <t>147.</t>
  </si>
  <si>
    <t>ELECTRO VIZCAYA SOCIEDAD ANONIMA</t>
  </si>
  <si>
    <t>148.</t>
  </si>
  <si>
    <t>LANGARRI LOGISTICA SL</t>
  </si>
  <si>
    <t>149.</t>
  </si>
  <si>
    <t>REINER E HIJOS SL</t>
  </si>
  <si>
    <t>150.</t>
  </si>
  <si>
    <t>TEKNICALDE SL</t>
  </si>
  <si>
    <t>151.</t>
  </si>
  <si>
    <t>CENTRO AZKUNA DE OCIO Y CULTURA SOCIEDAD ANONIMA.</t>
  </si>
  <si>
    <t>152.</t>
  </si>
  <si>
    <t>BEOTIBAR RECYCLING SL</t>
  </si>
  <si>
    <t>153.</t>
  </si>
  <si>
    <t>ARGITRAN S.L.</t>
  </si>
  <si>
    <t>154.</t>
  </si>
  <si>
    <t>DISTRIPRESS LOGISTICA SL</t>
  </si>
  <si>
    <t>155.</t>
  </si>
  <si>
    <t>INSPECCION TECNICA LINK SOCIEDAD ANONIMA</t>
  </si>
  <si>
    <t>156.</t>
  </si>
  <si>
    <t>SILICONAS SILAM SA</t>
  </si>
  <si>
    <t>157.</t>
  </si>
  <si>
    <t>SERVICIOS Y CARRETILLAS ELEVADORAS SOCIEDAD ANONIMA</t>
  </si>
  <si>
    <t>158.</t>
  </si>
  <si>
    <t>PATXI SCOOP</t>
  </si>
  <si>
    <t>159.</t>
  </si>
  <si>
    <t>PEÑASCAL S.C.</t>
  </si>
  <si>
    <t>160.</t>
  </si>
  <si>
    <t>METROLOGIA SARIKI SOCIEDAD ANONIMA</t>
  </si>
  <si>
    <t>161.</t>
  </si>
  <si>
    <t>URKUNDE SA</t>
  </si>
  <si>
    <t>162.</t>
  </si>
  <si>
    <t>ASOC PARA EL PROGRESO DE LA DIRECCION</t>
  </si>
  <si>
    <t>163.</t>
  </si>
  <si>
    <t>EDICIONES DEUSTO SOCIEDAD ANONIMA</t>
  </si>
  <si>
    <t>164.</t>
  </si>
  <si>
    <t>COLONIALES BARBED SA</t>
  </si>
  <si>
    <t>165.</t>
  </si>
  <si>
    <t>DISTRIBUIDORA SIMO PUBLICACIONES SOCIEDAD LIMITADA</t>
  </si>
  <si>
    <t>166.</t>
  </si>
  <si>
    <t>ELECTRO ILUNBE SOCIEDAD ANONIMA</t>
  </si>
  <si>
    <t>167.</t>
  </si>
  <si>
    <t>HAUCK HEAT TREATMENT PAIS VASCO SL</t>
  </si>
  <si>
    <t>168.</t>
  </si>
  <si>
    <t>GRUAS Y TRANSPORTES IBARRONDO SA</t>
  </si>
  <si>
    <t>169.</t>
  </si>
  <si>
    <t>EMPRESA CONSTRUCTORA URBELAN SOCIEDAD ANONIMA</t>
  </si>
  <si>
    <t>170.</t>
  </si>
  <si>
    <t>CARTONAJES LANTEGUI SOCIEDAD LIMITADA.</t>
  </si>
  <si>
    <t>171.</t>
  </si>
  <si>
    <t>AGUIRREGOMEZCORTA Y MENDICUTE SA</t>
  </si>
  <si>
    <t>172.</t>
  </si>
  <si>
    <t>POLIFLUOR SL</t>
  </si>
  <si>
    <t>173.</t>
  </si>
  <si>
    <t>KOLBI ELECTRONICA SOCIEDAD ANONIMA</t>
  </si>
  <si>
    <t>174.</t>
  </si>
  <si>
    <t>FANOX ELECTRONIC SL</t>
  </si>
  <si>
    <t>175.</t>
  </si>
  <si>
    <t>FROMM EMBALAJES SA</t>
  </si>
  <si>
    <t>MONTMELO</t>
  </si>
  <si>
    <t>176.</t>
  </si>
  <si>
    <t>URIARTE SAFYBOX SOCIEDAD ANONIMA</t>
  </si>
  <si>
    <t>177.</t>
  </si>
  <si>
    <t>SEIN, HERRAMIENTAS, SERVICIOS, RESULTADOS SL.</t>
  </si>
  <si>
    <t>178.</t>
  </si>
  <si>
    <t>ALEACEROS SA</t>
  </si>
  <si>
    <t>179.</t>
  </si>
  <si>
    <t>COCINA CENTRAL GOÑI SL</t>
  </si>
  <si>
    <t>180.</t>
  </si>
  <si>
    <t>EUSKAL EXCLUSIVAS SL</t>
  </si>
  <si>
    <t>181.</t>
  </si>
  <si>
    <t>DISEÑO INTERIORISMO INFORMATICA OFICINAS SOCIEDAD ANONIMA</t>
  </si>
  <si>
    <t>182.</t>
  </si>
  <si>
    <t>MUGAPE SL</t>
  </si>
  <si>
    <t>183.</t>
  </si>
  <si>
    <t>EUSKAL-KATAFORESIS SOCIEDAD ANONIMA</t>
  </si>
  <si>
    <t>184.</t>
  </si>
  <si>
    <t>GESTION DOCUMENTAL EUSKADI SOCIEDAD LIMITADA.</t>
  </si>
  <si>
    <t>185.</t>
  </si>
  <si>
    <t>TEA EDICIONES SA</t>
  </si>
  <si>
    <t>186.</t>
  </si>
  <si>
    <t>INDUSTRIAS DE MECANIZADO GERMANY SA</t>
  </si>
  <si>
    <t>187.</t>
  </si>
  <si>
    <t>TALLERES AGA SA</t>
  </si>
  <si>
    <t>188.</t>
  </si>
  <si>
    <t>JOSE LUIS SANTILLAN SA (EXTINGUIDA)</t>
  </si>
  <si>
    <t>189.</t>
  </si>
  <si>
    <t>GURELAN SA</t>
  </si>
  <si>
    <t>190.</t>
  </si>
  <si>
    <t>BILBO GUARDAS SEGURIDAD SOCIEDAD LIMITADA</t>
  </si>
  <si>
    <t>191.</t>
  </si>
  <si>
    <t>RUEDAS ROAR SA</t>
  </si>
  <si>
    <t>192.</t>
  </si>
  <si>
    <t>BULTZAKI SLU</t>
  </si>
  <si>
    <t>193.</t>
  </si>
  <si>
    <t>HANNA INSTRUMENTS SL</t>
  </si>
  <si>
    <t>194.</t>
  </si>
  <si>
    <t>EUSKALDUNA JAUREGIA -PALACIO EUSKALDUNA SA</t>
  </si>
  <si>
    <t>195.</t>
  </si>
  <si>
    <t>IZA ASCENSORES SL</t>
  </si>
  <si>
    <t>LAUDIO/LLODIO</t>
  </si>
  <si>
    <t>196.</t>
  </si>
  <si>
    <t>ELECTRICIDAD N OSES SOCIEDAD ANONIMA</t>
  </si>
  <si>
    <t>197.</t>
  </si>
  <si>
    <t>SERVICIOS TECNICOS OLABERRIA S.L.</t>
  </si>
  <si>
    <t>198.</t>
  </si>
  <si>
    <t>GOIKARTE SOCIEDAD ANONIMA</t>
  </si>
  <si>
    <t>199.</t>
  </si>
  <si>
    <t>CIRLAN SL</t>
  </si>
  <si>
    <t>200.</t>
  </si>
  <si>
    <t>ELEMENTOS DE VERIFICACION Y CONTROL SA</t>
  </si>
  <si>
    <t>201.</t>
  </si>
  <si>
    <t>ITALMATIC SOCIEDAD ANONIMA</t>
  </si>
  <si>
    <t>202.</t>
  </si>
  <si>
    <t>TECCI CIRCUITOS IMPRESOS SL</t>
  </si>
  <si>
    <t>203.</t>
  </si>
  <si>
    <t>FUNVISA SA</t>
  </si>
  <si>
    <t>204.</t>
  </si>
  <si>
    <t>VINOS AGIRRE SOCIEDAD LIMITADA</t>
  </si>
  <si>
    <t>205.</t>
  </si>
  <si>
    <t>SMART MECATRONICA SOCIEDAD LIMITADA.</t>
  </si>
  <si>
    <t>206.</t>
  </si>
  <si>
    <t>GARABI INDUSTRIAL TECHNOLOGIES SL.</t>
  </si>
  <si>
    <t>207.</t>
  </si>
  <si>
    <t>MIAB SOCIEDAD ANONIMA</t>
  </si>
  <si>
    <t>208.</t>
  </si>
  <si>
    <t>SERVICIOS VASCOS DE TASACIONES SA</t>
  </si>
  <si>
    <t>209.</t>
  </si>
  <si>
    <t>INDUSTRIAS BETA SL</t>
  </si>
  <si>
    <t>210.</t>
  </si>
  <si>
    <t>SASYMA COATINGS SOCIEDAD LIMITADA</t>
  </si>
  <si>
    <t>211.</t>
  </si>
  <si>
    <t>SORETRAC, SA</t>
  </si>
  <si>
    <t>212.</t>
  </si>
  <si>
    <t>UKAI SA</t>
  </si>
  <si>
    <t>213.</t>
  </si>
  <si>
    <t>BIZKAIKO ELKAR SOCIEDAD LIMITADA.</t>
  </si>
  <si>
    <t>214.</t>
  </si>
  <si>
    <t>ELECTRIFICACIONES RADIMER SOCIEDAD LIMITADA</t>
  </si>
  <si>
    <t>215.</t>
  </si>
  <si>
    <t>PLASTICAS REINER SL</t>
  </si>
  <si>
    <t>216.</t>
  </si>
  <si>
    <t>SISTIAGA LASA SL</t>
  </si>
  <si>
    <t>217.</t>
  </si>
  <si>
    <t>EUROPEA DE SERVICIOS E HIGIENE EURO SERVHI SA</t>
  </si>
  <si>
    <t>218.</t>
  </si>
  <si>
    <t>PLASTICOS URTETA SL</t>
  </si>
  <si>
    <t>219.</t>
  </si>
  <si>
    <t>LAU NIK MAQUINAS ESPECIALES SOCIEDAD LIMITADA.</t>
  </si>
  <si>
    <t>220.</t>
  </si>
  <si>
    <t>ESTUDIOS DURERO SL</t>
  </si>
  <si>
    <t>221.</t>
  </si>
  <si>
    <t>AURTENETXEA SA</t>
  </si>
  <si>
    <t>222.</t>
  </si>
  <si>
    <t>ECOMAL IBERIA SA.</t>
  </si>
  <si>
    <t>223.</t>
  </si>
  <si>
    <t>FUNDICIONES GOICOECHEA SOCIEDAD LIMITADA</t>
  </si>
  <si>
    <t>224.</t>
  </si>
  <si>
    <t>AVNET IBERIA SA</t>
  </si>
  <si>
    <t>225.</t>
  </si>
  <si>
    <t>GOIPLASTIK SL (EXTINGUIDA)</t>
  </si>
  <si>
    <t>226.</t>
  </si>
  <si>
    <t>INDUSTRIAS GRAFICAS MARCAL SA</t>
  </si>
  <si>
    <t>227.</t>
  </si>
  <si>
    <t>METALURGICA MARINA SA</t>
  </si>
  <si>
    <t>228.</t>
  </si>
  <si>
    <t>TECNIPESA IDENTIFICACION SL.</t>
  </si>
  <si>
    <t>229.</t>
  </si>
  <si>
    <t>ELCORO DECOLETAJE SL</t>
  </si>
  <si>
    <t>230.</t>
  </si>
  <si>
    <t>GRAFILUR SA</t>
  </si>
  <si>
    <t>231.</t>
  </si>
  <si>
    <t>MERCADOS CENTRALES DE ABASTECIMIENTO DE BILBAO SOCIEDAD ANONIMA</t>
  </si>
  <si>
    <t>232.</t>
  </si>
  <si>
    <t>AUTOBUSES CUADRA SA</t>
  </si>
  <si>
    <t>233.</t>
  </si>
  <si>
    <t>TRANSPORTES OPELBI SOCIEDAD LIMITADA</t>
  </si>
  <si>
    <t>234.</t>
  </si>
  <si>
    <t>MECANICA LASER, SA</t>
  </si>
  <si>
    <t>235.</t>
  </si>
  <si>
    <t>CONSULTORES SAYMA SOCIEDAD ANONIMA</t>
  </si>
  <si>
    <t>236.</t>
  </si>
  <si>
    <t>ZORELOR SA</t>
  </si>
  <si>
    <t>237.</t>
  </si>
  <si>
    <t>GOILASER SA</t>
  </si>
  <si>
    <t>238.</t>
  </si>
  <si>
    <t>IBAITOR SA</t>
  </si>
  <si>
    <t>239.</t>
  </si>
  <si>
    <t>EUSKOPACK SL</t>
  </si>
  <si>
    <t>240.</t>
  </si>
  <si>
    <t>ELESA-GANTER IBERICA, SL</t>
  </si>
  <si>
    <t>SORALUZE-PLACENCIA DE LAS ARMAS</t>
  </si>
  <si>
    <t>241.</t>
  </si>
  <si>
    <t>INTEGRATED TECHNOLOGY SYSTEMS SL</t>
  </si>
  <si>
    <t>242.</t>
  </si>
  <si>
    <t>SMW AUTOBLOK IBERICA SL.</t>
  </si>
  <si>
    <t>243.</t>
  </si>
  <si>
    <t>EGUIBER INGENIERIA Y SUMINISTROS TECNICOS SA</t>
  </si>
  <si>
    <t>244.</t>
  </si>
  <si>
    <t>TALLERES MYL SA</t>
  </si>
  <si>
    <t>245.</t>
  </si>
  <si>
    <t>CAUCHOPREN SL</t>
  </si>
  <si>
    <t>246.</t>
  </si>
  <si>
    <t>SERLASA SA (EXTINGUIDA)</t>
  </si>
  <si>
    <t>ABANTO Y CIERVANA/ABANTO ZIERBENA</t>
  </si>
  <si>
    <t>247.</t>
  </si>
  <si>
    <t>TALLERES ARRECHE SA</t>
  </si>
  <si>
    <t>248.</t>
  </si>
  <si>
    <t>SOKOEL SA</t>
  </si>
  <si>
    <t>249.</t>
  </si>
  <si>
    <t>CARBIZKAIA SOCIEDAD ANONIMA.</t>
  </si>
  <si>
    <t>250.</t>
  </si>
  <si>
    <t>GARAIA SCOOPL</t>
  </si>
  <si>
    <t>251.</t>
  </si>
  <si>
    <t>EDUARDO CORTINA SOCIEDAD ANONIMA</t>
  </si>
  <si>
    <t>252.</t>
  </si>
  <si>
    <t>ARRIZABAL ELKARTEA SL</t>
  </si>
  <si>
    <t>253.</t>
  </si>
  <si>
    <t>ELORBI SA</t>
  </si>
  <si>
    <t>254.</t>
  </si>
  <si>
    <t>PLACISA SL</t>
  </si>
  <si>
    <t>255.</t>
  </si>
  <si>
    <t>AKROPOST SERVICIOS POSTALES DEL PAIS VASCO SA</t>
  </si>
  <si>
    <t>256.</t>
  </si>
  <si>
    <t>LAVANINDU SOCIEDAD LIMITADA</t>
  </si>
  <si>
    <t>257.</t>
  </si>
  <si>
    <t>QUIVA COLOR SL</t>
  </si>
  <si>
    <t>258.</t>
  </si>
  <si>
    <t>SCHMALZ SOCIEDAD ANONIMA</t>
  </si>
  <si>
    <t>259.</t>
  </si>
  <si>
    <t>CLYMAGRUP JCT SL</t>
  </si>
  <si>
    <t>260.</t>
  </si>
  <si>
    <t>FONDO FORMACION EUSKADI SLL</t>
  </si>
  <si>
    <t>261.</t>
  </si>
  <si>
    <t>SUSENSA SL</t>
  </si>
  <si>
    <t>262.</t>
  </si>
  <si>
    <t>INDUSTRIAS ALZUARAN SL</t>
  </si>
  <si>
    <t>263.</t>
  </si>
  <si>
    <t>VIUDA DE CANDIDO GASTELURRUTIA SA</t>
  </si>
  <si>
    <t>264.</t>
  </si>
  <si>
    <t>APPLUSS ITEUVE EUSKADI SOCIEDAD ANONIMA</t>
  </si>
  <si>
    <t>265.</t>
  </si>
  <si>
    <t>KOOPERA SERVICIOS AMBIENTALES S.C.</t>
  </si>
  <si>
    <t>266.</t>
  </si>
  <si>
    <t>EMBALAJES ECHEBERRIA SL</t>
  </si>
  <si>
    <t>267.</t>
  </si>
  <si>
    <t>SERCOIN SISTEMAS DE SEGURIDAD SA</t>
  </si>
  <si>
    <t>268.</t>
  </si>
  <si>
    <t>SUMINISTROS MUGARRA SL</t>
  </si>
  <si>
    <t>269.</t>
  </si>
  <si>
    <t>BILBAO ELECTRONICA SA</t>
  </si>
  <si>
    <t>270.</t>
  </si>
  <si>
    <t>ALIMENTACION BARROSO SA</t>
  </si>
  <si>
    <t>271.</t>
  </si>
  <si>
    <t>COMERCIAL VILARRASA SA</t>
  </si>
  <si>
    <t>272.</t>
  </si>
  <si>
    <t>JUNTAS BESMA SA</t>
  </si>
  <si>
    <t>273.</t>
  </si>
  <si>
    <t>TRANSFORMADOS Y MANIPULADOS SL</t>
  </si>
  <si>
    <t>274.</t>
  </si>
  <si>
    <t>FLORIDITA BILBAO SA</t>
  </si>
  <si>
    <t>275.</t>
  </si>
  <si>
    <t>ROLLER INDUSTRIAL SA</t>
  </si>
  <si>
    <t>276.</t>
  </si>
  <si>
    <t>A&amp;B LABORATORIOS DE BIOTECNOLOGIA SA</t>
  </si>
  <si>
    <t>277.</t>
  </si>
  <si>
    <t>CONEXIONES Y CABLEADOS VITORIA S.A.</t>
  </si>
  <si>
    <t>278.</t>
  </si>
  <si>
    <t>PROFINSA Y SUMINISTROS SOCIEDAD LIMITADA</t>
  </si>
  <si>
    <t>279.</t>
  </si>
  <si>
    <t>INTEGRAL DE VIGILANCIA Y CONTROL SOCIEDAD LIMITADA</t>
  </si>
  <si>
    <t>280.</t>
  </si>
  <si>
    <t>ZUBELZU SL</t>
  </si>
  <si>
    <t>281.</t>
  </si>
  <si>
    <t>TRANSFORMADOS COMBISA, SOCIEDAD LIMITADA.</t>
  </si>
  <si>
    <t>282.</t>
  </si>
  <si>
    <t>FINELINE SPAIN SLU</t>
  </si>
  <si>
    <t>283.</t>
  </si>
  <si>
    <t>LIMPIEZAS INDUSTRIALES IRIS SOCIEDAD LIMITADA</t>
  </si>
  <si>
    <t>284.</t>
  </si>
  <si>
    <t>PALETS DEL VALLE SOCIEDAD LIMITADA.</t>
  </si>
  <si>
    <t>285.</t>
  </si>
  <si>
    <t>FABRI PAPEL SA</t>
  </si>
  <si>
    <t>286.</t>
  </si>
  <si>
    <t>SOLDANORTE SA</t>
  </si>
  <si>
    <t>287.</t>
  </si>
  <si>
    <t>CENTRO INDEPENDIENTE DE SUMINISTROS Y ABASTECIMIENTOS SL</t>
  </si>
  <si>
    <t>288.</t>
  </si>
  <si>
    <t>CERVINOR SA</t>
  </si>
  <si>
    <t>289.</t>
  </si>
  <si>
    <t>PRODUCTOS SALINAS SA</t>
  </si>
  <si>
    <t>290.</t>
  </si>
  <si>
    <t>SUMELEC BILBAO SL.</t>
  </si>
  <si>
    <t>291.</t>
  </si>
  <si>
    <t>GAURSA MOBILITY SOCIEDAD LIMITADA.</t>
  </si>
  <si>
    <t>292.</t>
  </si>
  <si>
    <t>ALDINET,,,SL</t>
  </si>
  <si>
    <t>293.</t>
  </si>
  <si>
    <t>GOMEZ PAGALDAY SL</t>
  </si>
  <si>
    <t>294.</t>
  </si>
  <si>
    <t>SUMINISTROS ARIÑO SA</t>
  </si>
  <si>
    <t>295.</t>
  </si>
  <si>
    <t>MAPE SEGURIDAD SA</t>
  </si>
  <si>
    <t>296.</t>
  </si>
  <si>
    <t>ADENOR PAIS VASCO SOCIEDAD LIMITADA.</t>
  </si>
  <si>
    <t>297.</t>
  </si>
  <si>
    <t>COPLASEM SL</t>
  </si>
  <si>
    <t>298.</t>
  </si>
  <si>
    <t>NUEVA SIBOL SL</t>
  </si>
  <si>
    <t>299.</t>
  </si>
  <si>
    <t>DISTRIBUCION Y TRANSPORTES DE GASOLEOS LAS LLANAS SA</t>
  </si>
  <si>
    <t>300.</t>
  </si>
  <si>
    <t>ENBOR DIDAKTIKOAK SOCIEDAD LIMITADA.</t>
  </si>
  <si>
    <t>301.</t>
  </si>
  <si>
    <t>NEUMATICOS GALDAKAO SL</t>
  </si>
  <si>
    <t>302.</t>
  </si>
  <si>
    <t>ACEITES INDUSTRIALES EIBARLAR SL</t>
  </si>
  <si>
    <t>303.</t>
  </si>
  <si>
    <t>DS AUTOMACION SL</t>
  </si>
  <si>
    <t>304.</t>
  </si>
  <si>
    <t>LIMPIEZAS INDUSTRIALES MORGA SL</t>
  </si>
  <si>
    <t>305.</t>
  </si>
  <si>
    <t>SUMINISTROS PRADA SL</t>
  </si>
  <si>
    <t>306.</t>
  </si>
  <si>
    <t>SUMINISTROS SERIGRAFICOS KIMA SL</t>
  </si>
  <si>
    <t>307.</t>
  </si>
  <si>
    <t>S GALLARDO SL</t>
  </si>
  <si>
    <t>308.</t>
  </si>
  <si>
    <t>URKIOLA FABRICACIONES SL.</t>
  </si>
  <si>
    <t>309.</t>
  </si>
  <si>
    <t>PROINYEC SL</t>
  </si>
  <si>
    <t>310.</t>
  </si>
  <si>
    <t>REPARACIONES INDUSTRIALES ZALDIBAR SL</t>
  </si>
  <si>
    <t>311.</t>
  </si>
  <si>
    <t>INTERMEDIO MONTAJES SL</t>
  </si>
  <si>
    <t>312.</t>
  </si>
  <si>
    <t>TALLERES WOLCO SL</t>
  </si>
  <si>
    <t>313.</t>
  </si>
  <si>
    <t>ESTALKIPACK SL</t>
  </si>
  <si>
    <t>314.</t>
  </si>
  <si>
    <t>GALBIZ NEUMATICOS SA</t>
  </si>
  <si>
    <t>315.</t>
  </si>
  <si>
    <t>URKOTRONIK SA</t>
  </si>
  <si>
    <t>316.</t>
  </si>
  <si>
    <t>MUNGIMATIK SOCIEDAD ANONIMA</t>
  </si>
  <si>
    <t>317.</t>
  </si>
  <si>
    <t>UYTAC TROQUELADOS Y ESTAMPADOS SL</t>
  </si>
  <si>
    <t>318.</t>
  </si>
  <si>
    <t>FRIO INDUSTRIAL FREIRE SL</t>
  </si>
  <si>
    <t>319.</t>
  </si>
  <si>
    <t>TRAINERA SUMINISTROS DE PAPELERIA SL</t>
  </si>
  <si>
    <t>320.</t>
  </si>
  <si>
    <t>CISA HIDRAULICA SOCIEDAD ANONIMA</t>
  </si>
  <si>
    <t>321.</t>
  </si>
  <si>
    <t>ADELL 2010 SL</t>
  </si>
  <si>
    <t>322.</t>
  </si>
  <si>
    <t>SUMINISTROS HOGAR HOTEL SA</t>
  </si>
  <si>
    <t>323.</t>
  </si>
  <si>
    <t>ZIURTAPEN ETA ZERBITZU ENPRESA-EMPRESA DE CERTIFICACION Y SERVICIOS IZENPE SA</t>
  </si>
  <si>
    <t>324.</t>
  </si>
  <si>
    <t>RAYTER SA</t>
  </si>
  <si>
    <t>325.</t>
  </si>
  <si>
    <t>NORTEÑA DE METALES SA</t>
  </si>
  <si>
    <t>326.</t>
  </si>
  <si>
    <t>YONCHEN IMPOR SL</t>
  </si>
  <si>
    <t>327.</t>
  </si>
  <si>
    <t>ALIMENTARIA ASUA SL</t>
  </si>
  <si>
    <t>328.</t>
  </si>
  <si>
    <t>PLASTICOS TOLOSA SA</t>
  </si>
  <si>
    <t>329.</t>
  </si>
  <si>
    <t>DASCOR SL</t>
  </si>
  <si>
    <t>330.</t>
  </si>
  <si>
    <t>MANUTENCION ELECTRO HIDRAULICA DEL NORTE SL</t>
  </si>
  <si>
    <t>331.</t>
  </si>
  <si>
    <t>INSEKOR SOCIEDAD ANONIMA</t>
  </si>
  <si>
    <t>332.</t>
  </si>
  <si>
    <t>FUNDICIONES ESKORIATZA SL</t>
  </si>
  <si>
    <t>333.</t>
  </si>
  <si>
    <t>MANUFACTURAS AZCO-PRES SAL</t>
  </si>
  <si>
    <t>334.</t>
  </si>
  <si>
    <t>DANFFOR SISTEMAS DE INTEGRACION INDUSTRIAL SL</t>
  </si>
  <si>
    <t>335.</t>
  </si>
  <si>
    <t>TALLERES GARBI, SA</t>
  </si>
  <si>
    <t>336.</t>
  </si>
  <si>
    <t>NOBELEK NERVION SOCIEDAD LIMITADA.</t>
  </si>
  <si>
    <t>337.</t>
  </si>
  <si>
    <t>URBABIL 2000 SL</t>
  </si>
  <si>
    <t>338.</t>
  </si>
  <si>
    <t>FORJAS DE METALES ESPECIALES SOCIEDAD ANONIMA</t>
  </si>
  <si>
    <t>339.</t>
  </si>
  <si>
    <t>COMERCIAL SIFER SOCIEDAD ANONIMA</t>
  </si>
  <si>
    <t>340.</t>
  </si>
  <si>
    <t>INDUSTRIAS BETICO SA</t>
  </si>
  <si>
    <t>341.</t>
  </si>
  <si>
    <t>FORESTALES MUGARRI SL</t>
  </si>
  <si>
    <t>342.</t>
  </si>
  <si>
    <t>GALVANIZADOS IZURZA SOCIEDAD ANONIMA</t>
  </si>
  <si>
    <t>IZURTZA</t>
  </si>
  <si>
    <t>343.</t>
  </si>
  <si>
    <t>PRINTHAUS SOCIEDAD LIMITADA</t>
  </si>
  <si>
    <t>344.</t>
  </si>
  <si>
    <t>HORNIPLAS SA</t>
  </si>
  <si>
    <t>345.</t>
  </si>
  <si>
    <t>IMEGAR SAL</t>
  </si>
  <si>
    <t>346.</t>
  </si>
  <si>
    <t>FRUTAS SOLER Y ALEX SL</t>
  </si>
  <si>
    <t>347.</t>
  </si>
  <si>
    <t>CRIPLAST SL</t>
  </si>
  <si>
    <t>348.</t>
  </si>
  <si>
    <t>TROQUELERIA ODIM SA</t>
  </si>
  <si>
    <t>349.</t>
  </si>
  <si>
    <t>BRONCES GARITANO NEW SL</t>
  </si>
  <si>
    <t>350.</t>
  </si>
  <si>
    <t>CIANOPLAN SA (EXTINGUIDA)</t>
  </si>
  <si>
    <t>351.</t>
  </si>
  <si>
    <t>SUMINISTROS PARA LA CONSTRUCCION PLAZA AMURRIO SA</t>
  </si>
  <si>
    <t>352.</t>
  </si>
  <si>
    <t>CEPILLERIA INDUSTRIAL ALAVESA SL</t>
  </si>
  <si>
    <t>353.</t>
  </si>
  <si>
    <t>SEGURIDAD INCENDIOS SERCOIN SA</t>
  </si>
  <si>
    <t>354.</t>
  </si>
  <si>
    <t>HIJOS DE COSME ELGUEZABAL SA</t>
  </si>
  <si>
    <t>355.</t>
  </si>
  <si>
    <t>SUVASCA SA</t>
  </si>
  <si>
    <t>356.</t>
  </si>
  <si>
    <t>CM NORTE SL</t>
  </si>
  <si>
    <t>357.</t>
  </si>
  <si>
    <t>LCC MANUFACTURING SOCIEDAD LIMITADA.</t>
  </si>
  <si>
    <t>358.</t>
  </si>
  <si>
    <t>EUROVERMON SL</t>
  </si>
  <si>
    <t>359.</t>
  </si>
  <si>
    <t>AUXILIAR HIDRAULICA SOCIEDAD LIMITADA</t>
  </si>
  <si>
    <t>360.</t>
  </si>
  <si>
    <t>TROEM-EGA TRANSFORMERS SL</t>
  </si>
  <si>
    <t>361.</t>
  </si>
  <si>
    <t>BILBOFRES SL</t>
  </si>
  <si>
    <t>362.</t>
  </si>
  <si>
    <t>CERRAJERIA SOMERA SL</t>
  </si>
  <si>
    <t>363.</t>
  </si>
  <si>
    <t>ENGRANAJES URETA SA</t>
  </si>
  <si>
    <t>364.</t>
  </si>
  <si>
    <t>SERIGRAFIA ALAVA SA</t>
  </si>
  <si>
    <t>365.</t>
  </si>
  <si>
    <t>HUIDOBRO PLASTICOS SL</t>
  </si>
  <si>
    <t>366.</t>
  </si>
  <si>
    <t>PARKING ARENAL SOCIEDAD ANONIMA CONCESIONARIA DEL AYUNTAMIENTO DE BILBAO</t>
  </si>
  <si>
    <t>367.</t>
  </si>
  <si>
    <t>TUBOPACK SA</t>
  </si>
  <si>
    <t>368.</t>
  </si>
  <si>
    <t>INDUSTRIAS PAMPO SL</t>
  </si>
  <si>
    <t>369.</t>
  </si>
  <si>
    <t>GASTRONOMIA Y REGALOS SL</t>
  </si>
  <si>
    <t>370.</t>
  </si>
  <si>
    <t>COMERCIAL EIBARRESA HEYBER SL</t>
  </si>
  <si>
    <t>371.</t>
  </si>
  <si>
    <t>SAREIN SISTEMAS, SL (EN LIQUIDACION)</t>
  </si>
  <si>
    <t>372.</t>
  </si>
  <si>
    <t>UTILES Y MAQUINAS INDUSTRIALES SA</t>
  </si>
  <si>
    <t>373.</t>
  </si>
  <si>
    <t>MENDIGUREN Y UGARTE, SA</t>
  </si>
  <si>
    <t>374.</t>
  </si>
  <si>
    <t>ALKIZABAL SL</t>
  </si>
  <si>
    <t>375.</t>
  </si>
  <si>
    <t>BILBAINA DE TRATAMIENTOS SL</t>
  </si>
  <si>
    <t>376.</t>
  </si>
  <si>
    <t>LOGISTICA Y TECNICAS DE ALMACENAJE SL</t>
  </si>
  <si>
    <t>377.</t>
  </si>
  <si>
    <t>NORANTZA GARRAIOAK SOCIEDAD LIMITADA.</t>
  </si>
  <si>
    <t>378.</t>
  </si>
  <si>
    <t>REPONOR LOGISTIC SL</t>
  </si>
  <si>
    <t>379.</t>
  </si>
  <si>
    <t>LEGEMON SL</t>
  </si>
  <si>
    <t>380.</t>
  </si>
  <si>
    <t>SELZUR VIZCAYA SA</t>
  </si>
  <si>
    <t>381.</t>
  </si>
  <si>
    <t>TRANSFORMADOS WATER CUT SL</t>
  </si>
  <si>
    <t>382.</t>
  </si>
  <si>
    <t>SERVICIO DE ASISTENCIA TECNICA APEL SOCIEDAD LIMITADA</t>
  </si>
  <si>
    <t>383.</t>
  </si>
  <si>
    <t>LAYCOVEL SOCIEDAD LIMITADA</t>
  </si>
  <si>
    <t>384.</t>
  </si>
  <si>
    <t>SUBCONJUNTOS ELECTRONICOS SUE SA</t>
  </si>
  <si>
    <t>385.</t>
  </si>
  <si>
    <t>IMPRENTA GARCINUÑO SL</t>
  </si>
  <si>
    <t>386.</t>
  </si>
  <si>
    <t>SERVICIO DE ASISTENCIA A INSTALACIONES DE CALEFACCION SL</t>
  </si>
  <si>
    <t>387.</t>
  </si>
  <si>
    <t>MECO SOCIEDAD LIMITADA.</t>
  </si>
  <si>
    <t>388.</t>
  </si>
  <si>
    <t>DESATASCOS ISURBIDE SOCIEDAD LIMITADA</t>
  </si>
  <si>
    <t>389.</t>
  </si>
  <si>
    <t>CASA REINA SA</t>
  </si>
  <si>
    <t>SOPELA</t>
  </si>
  <si>
    <t>390.</t>
  </si>
  <si>
    <t>ORTIZ ASPIZUA HERMANOS SL</t>
  </si>
  <si>
    <t>391.</t>
  </si>
  <si>
    <t>LARA NORTE SA</t>
  </si>
  <si>
    <t>392.</t>
  </si>
  <si>
    <t>PARANDIET SUMINISTROS INDUSTRIALES SL</t>
  </si>
  <si>
    <t>393.</t>
  </si>
  <si>
    <t>ELECTRICIDAD MIBE SOCIEDAD ANONIMA</t>
  </si>
  <si>
    <t>394.</t>
  </si>
  <si>
    <t>ELECTROIMANES DE ACCIONAMIENTO NAFSA SL</t>
  </si>
  <si>
    <t>395.</t>
  </si>
  <si>
    <t>FER HIGIENE INDUSTRIAL SL  (EXTINGUIDA)</t>
  </si>
  <si>
    <t>396.</t>
  </si>
  <si>
    <t>RIOZURI SL</t>
  </si>
  <si>
    <t>397.</t>
  </si>
  <si>
    <t>COOPERATIVA AGRICOLA GANADERA SAN ISIDRO</t>
  </si>
  <si>
    <t>398.</t>
  </si>
  <si>
    <t>TALLERES FELAS SL</t>
  </si>
  <si>
    <t>399.</t>
  </si>
  <si>
    <t>COMERCIAL DE MANTENIMIENTO Y LIMPIEZA GARRIDO SL</t>
  </si>
  <si>
    <t>400.</t>
  </si>
  <si>
    <t>ROBOLAN INGENIERIA ROBOTICA SL</t>
  </si>
  <si>
    <t>401.</t>
  </si>
  <si>
    <t>SERVIRREINER SL</t>
  </si>
  <si>
    <t>402.</t>
  </si>
  <si>
    <t>IMPRENTA COMERCIAL SAMPER S A</t>
  </si>
  <si>
    <t>403.</t>
  </si>
  <si>
    <t>ZORROZA INDUSKETAT ETA GARRAIOAK SL</t>
  </si>
  <si>
    <t>404.</t>
  </si>
  <si>
    <t>I-SAI ACCESOS Y PRESENCIA SL</t>
  </si>
  <si>
    <t>405.</t>
  </si>
  <si>
    <t>EUSKALTAX SL</t>
  </si>
  <si>
    <t>406.</t>
  </si>
  <si>
    <t>JABONES EL ABRA SOCIEDAD ANONIMA</t>
  </si>
  <si>
    <t>407.</t>
  </si>
  <si>
    <t>MEYUSA SA</t>
  </si>
  <si>
    <t>408.</t>
  </si>
  <si>
    <t>EL ABRA COMERCIAL VIZCAINA SL</t>
  </si>
  <si>
    <t>409.</t>
  </si>
  <si>
    <t>METALTERMICA GAI SA</t>
  </si>
  <si>
    <t>410.</t>
  </si>
  <si>
    <t>TEA ADHESIVOS INDUSTRIALES, S.L.</t>
  </si>
  <si>
    <t>411.</t>
  </si>
  <si>
    <t>KILSE SL</t>
  </si>
  <si>
    <t>412.</t>
  </si>
  <si>
    <t>MECANIZADOS DE CHAPA URLASER SOCIEDAD LIMITADA.</t>
  </si>
  <si>
    <t>413.</t>
  </si>
  <si>
    <t>TRESNAK SUMINISTROS INDUSTRIALES SL</t>
  </si>
  <si>
    <t>414.</t>
  </si>
  <si>
    <t>DIGISYSTEMS SOCIEDAD LIMITADA</t>
  </si>
  <si>
    <t>415.</t>
  </si>
  <si>
    <t>TALLERES ARCOGAS SA</t>
  </si>
  <si>
    <t>416.</t>
  </si>
  <si>
    <t>INGENIERIA Y TECNICAS DE CALIDAD SOCIEDAD LIMITADA</t>
  </si>
  <si>
    <t>417.</t>
  </si>
  <si>
    <t>SUMINISTROS URRUTIA SA</t>
  </si>
  <si>
    <t>418.</t>
  </si>
  <si>
    <t>EUSKODATA SA</t>
  </si>
  <si>
    <t>419.</t>
  </si>
  <si>
    <t>ILUNION MEDIACION CORREDURIA DE SEGUROS SA.</t>
  </si>
  <si>
    <t>420.</t>
  </si>
  <si>
    <t>PAPELERIA GOYA SL</t>
  </si>
  <si>
    <t>421.</t>
  </si>
  <si>
    <t>PUERTAS AUTOMATICAS PORMANORTE SL</t>
  </si>
  <si>
    <t>422.</t>
  </si>
  <si>
    <t>INGENIERIA TERMICA BILBAO SOCIEDAD LIMITADA</t>
  </si>
  <si>
    <t>423.</t>
  </si>
  <si>
    <t>LUSARO-MARKCOLOR SL</t>
  </si>
  <si>
    <t>424.</t>
  </si>
  <si>
    <t>DINAKSA PESAJE SOCIEDAD LIMITADA UNIPERSONAL.</t>
  </si>
  <si>
    <t>425.</t>
  </si>
  <si>
    <t>SUSPERTU SOCIEDAD LIMITADA.</t>
  </si>
  <si>
    <t>426.</t>
  </si>
  <si>
    <t>JOSE CHAROLA SA</t>
  </si>
  <si>
    <t>427.</t>
  </si>
  <si>
    <t>MELCAR SL</t>
  </si>
  <si>
    <t>428.</t>
  </si>
  <si>
    <t>INDUSTRIAS ALZUCA SA</t>
  </si>
  <si>
    <t>429.</t>
  </si>
  <si>
    <t>INDARRA AUTOMATISMOS SL</t>
  </si>
  <si>
    <t>430.</t>
  </si>
  <si>
    <t>MANIPULADOS VIVASA SOCIEDAD LIMITADA</t>
  </si>
  <si>
    <t>431.</t>
  </si>
  <si>
    <t>EMBALAJES BERRIZ SL</t>
  </si>
  <si>
    <t>432.</t>
  </si>
  <si>
    <t>ETINORT SA</t>
  </si>
  <si>
    <t>433.</t>
  </si>
  <si>
    <t>DESESCOMBROS MUNGUIA SL</t>
  </si>
  <si>
    <t>434.</t>
  </si>
  <si>
    <t>RECAMBIOS BOLIVAR SOCIEDAD ANONIMA</t>
  </si>
  <si>
    <t>435.</t>
  </si>
  <si>
    <t>FERRETERIA MIKELDI SL</t>
  </si>
  <si>
    <t>436.</t>
  </si>
  <si>
    <t>BARATZE TROBIKA SOCIEDAD LIMITADA</t>
  </si>
  <si>
    <t>437.</t>
  </si>
  <si>
    <t>VALLE ESCUDERO SL</t>
  </si>
  <si>
    <t>438.</t>
  </si>
  <si>
    <t>MICRO CAPAS SL</t>
  </si>
  <si>
    <t>439.</t>
  </si>
  <si>
    <t>PUNZONADOS DE MATERIALES SL</t>
  </si>
  <si>
    <t>440.</t>
  </si>
  <si>
    <t>CONFEDERACION EMPRESARIAL DE BIZKAIA BIZ</t>
  </si>
  <si>
    <t>441.</t>
  </si>
  <si>
    <t>PINTURAS ETXEBARRI SL</t>
  </si>
  <si>
    <t>442.</t>
  </si>
  <si>
    <t>PINTUBERRI INDUSTRIAL SL</t>
  </si>
  <si>
    <t>443.</t>
  </si>
  <si>
    <t>RADIAL SL</t>
  </si>
  <si>
    <t>444.</t>
  </si>
  <si>
    <t>CARNICAS PABELA SL</t>
  </si>
  <si>
    <t>445.</t>
  </si>
  <si>
    <t>MANUFACTURAS RESORT SL</t>
  </si>
  <si>
    <t>446.</t>
  </si>
  <si>
    <t>GASKA GARBITASUNA HIGIENE SOCIEDAD LIMITADA</t>
  </si>
  <si>
    <t>447.</t>
  </si>
  <si>
    <t>ELECSI SL</t>
  </si>
  <si>
    <t>448.</t>
  </si>
  <si>
    <t>LASER NORTE SOCIEDAD ANONIMA</t>
  </si>
  <si>
    <t>449.</t>
  </si>
  <si>
    <t>EXCLUSIVAS DE QUIMICOS Y SERVICIOS SL</t>
  </si>
  <si>
    <t>450.</t>
  </si>
  <si>
    <t>FUMGARBI SL</t>
  </si>
  <si>
    <t>451.</t>
  </si>
  <si>
    <t>EXCAVACIONES FUNDI SL</t>
  </si>
  <si>
    <t>452.</t>
  </si>
  <si>
    <t>EDERKALDE SL</t>
  </si>
  <si>
    <t>453.</t>
  </si>
  <si>
    <t>AGROJARDIN ASTIKENE SL</t>
  </si>
  <si>
    <t>454.</t>
  </si>
  <si>
    <t>URIARTE LOGISTICA SL</t>
  </si>
  <si>
    <t>455.</t>
  </si>
  <si>
    <t>MECANIZADOS MARTIARTU SL</t>
  </si>
  <si>
    <t>456.</t>
  </si>
  <si>
    <t>VALENTIN HERRAN SA</t>
  </si>
  <si>
    <t>457.</t>
  </si>
  <si>
    <t>MERKATU INTERACTIVA SL</t>
  </si>
  <si>
    <t>458.</t>
  </si>
  <si>
    <t>GESTORIA URRUTIA SUBINAS SL</t>
  </si>
  <si>
    <t>459.</t>
  </si>
  <si>
    <t>CONTAINER CENTRALEN IBERICA SL</t>
  </si>
  <si>
    <t>460.</t>
  </si>
  <si>
    <t>COMERCIAL TECNOQUIMICA EMMA SL</t>
  </si>
  <si>
    <t>461.</t>
  </si>
  <si>
    <t>TRADE RECYCLING SL</t>
  </si>
  <si>
    <t>462.</t>
  </si>
  <si>
    <t>COMERCIAL AGRICOLA IÑAKI CASTRO SL</t>
  </si>
  <si>
    <t>463.</t>
  </si>
  <si>
    <t>IDELT INGENIERIA DE DESARROLLO DE PROTOTIPOS S.L.</t>
  </si>
  <si>
    <t>464.</t>
  </si>
  <si>
    <t>INGENIERIA DE METALES Y PLASTICOS INGEMEPLAS SL</t>
  </si>
  <si>
    <t>465.</t>
  </si>
  <si>
    <t>JIORINGS SL</t>
  </si>
  <si>
    <t>466.</t>
  </si>
  <si>
    <t>DESARROLLO INDUSTRIAL SOCIEDAD LIMITADA</t>
  </si>
  <si>
    <t>467.</t>
  </si>
  <si>
    <t>AIRTALDE SOCIEDAD LIMITADA.</t>
  </si>
  <si>
    <t>468.</t>
  </si>
  <si>
    <t>RECAMBIOS ABANDO SL</t>
  </si>
  <si>
    <t>469.</t>
  </si>
  <si>
    <t>EMBALAJES ZABALA SL.</t>
  </si>
  <si>
    <t>470.</t>
  </si>
  <si>
    <t>PRECISION Y DECOLETAJE XXI SL</t>
  </si>
  <si>
    <t>471.</t>
  </si>
  <si>
    <t>TALLERES BARRENA SL</t>
  </si>
  <si>
    <t>472.</t>
  </si>
  <si>
    <t>UGARI GERIATRICA SL</t>
  </si>
  <si>
    <t>473.</t>
  </si>
  <si>
    <t>QUIMICA INDUSTRIAL DISOL SA</t>
  </si>
  <si>
    <t>474.</t>
  </si>
  <si>
    <t>VIZCAINA DE MANTENIMIENTO Y SERVICIOS AUXILIARES SL</t>
  </si>
  <si>
    <t>475.</t>
  </si>
  <si>
    <t>INDARBELT SA</t>
  </si>
  <si>
    <t>476.</t>
  </si>
  <si>
    <t>BERRIEGUNDU MANTENIMIENTO SL</t>
  </si>
  <si>
    <t>477.</t>
  </si>
  <si>
    <t>DANA-AIR AIRE COMPRIMIDO SL</t>
  </si>
  <si>
    <t>478.</t>
  </si>
  <si>
    <t>HERRIAK SL (EXTINGUIDA)</t>
  </si>
  <si>
    <t>479.</t>
  </si>
  <si>
    <t>NEURYLAN SOCIEDAD LIMITADA.</t>
  </si>
  <si>
    <t>480.</t>
  </si>
  <si>
    <t>REYMAN ELECTROBOMBAS SOCIEDAD LIMITADA.</t>
  </si>
  <si>
    <t>481.</t>
  </si>
  <si>
    <t>INOXIDABLES DEL NORTE SL</t>
  </si>
  <si>
    <t>482.</t>
  </si>
  <si>
    <t>FUNDICION DE ALUMINIO POR GRAVEDAD S.L.</t>
  </si>
  <si>
    <t>483.</t>
  </si>
  <si>
    <t>GAES VIMECA SOCIEDAD LIMITADA.</t>
  </si>
  <si>
    <t>484.</t>
  </si>
  <si>
    <t>SAFER INSTRUMENTACION SL</t>
  </si>
  <si>
    <t>485.</t>
  </si>
  <si>
    <t>PROTEC PROTECCION Y TECNOLOGIA DE LA MADERA SL</t>
  </si>
  <si>
    <t>486.</t>
  </si>
  <si>
    <t>PLASTICOS IRASTORZA SOCIEDAD ANONIMA</t>
  </si>
  <si>
    <t>487.</t>
  </si>
  <si>
    <t>HERRAMIENTAS DE CORTE HEYSA SL</t>
  </si>
  <si>
    <t>488.</t>
  </si>
  <si>
    <t>GARAJE AURTENETXE SOCIEDAD ANONIMA</t>
  </si>
  <si>
    <t>489.</t>
  </si>
  <si>
    <t>MANUFACTURAS EMABI SA</t>
  </si>
  <si>
    <t>490.</t>
  </si>
  <si>
    <t>CORLA 2013 SOCIEDAD LIMITADA.</t>
  </si>
  <si>
    <t>491.</t>
  </si>
  <si>
    <t>JUPER BI SL</t>
  </si>
  <si>
    <t>492.</t>
  </si>
  <si>
    <t>XURI BURDINDEGIA SL</t>
  </si>
  <si>
    <t>493.</t>
  </si>
  <si>
    <t>ARRANCUDIAGA-99 SL</t>
  </si>
  <si>
    <t>494.</t>
  </si>
  <si>
    <t>IBAI SISTEMAS SA</t>
  </si>
  <si>
    <t>495.</t>
  </si>
  <si>
    <t>MECANIZADOS JULZA SL</t>
  </si>
  <si>
    <t>496.</t>
  </si>
  <si>
    <t>TECNIFRISA SA</t>
  </si>
  <si>
    <t>497.</t>
  </si>
  <si>
    <t>KAENER SA</t>
  </si>
  <si>
    <t>498.</t>
  </si>
  <si>
    <t>CONTENEDORES VASCOS SOCIEDAD ANONIMA</t>
  </si>
  <si>
    <t>499.</t>
  </si>
  <si>
    <t>INGENIERIA DE METROLOGIA SL</t>
  </si>
  <si>
    <t>500.</t>
  </si>
  <si>
    <t>VITORIANA PLASTICA, SA</t>
  </si>
  <si>
    <t>501.</t>
  </si>
  <si>
    <t>BRON PLASTIC SL</t>
  </si>
  <si>
    <t>502.</t>
  </si>
  <si>
    <t>DECONS GKAO SL</t>
  </si>
  <si>
    <t>503.</t>
  </si>
  <si>
    <t>LANPESA INGENIERIA SL</t>
  </si>
  <si>
    <t>504.</t>
  </si>
  <si>
    <t>INDUSTRIA Y COMUNICACION SA</t>
  </si>
  <si>
    <t>505.</t>
  </si>
  <si>
    <t>CARBURANTES PETROENCINA S.L.</t>
  </si>
  <si>
    <t>506.</t>
  </si>
  <si>
    <t>FERRETERIA INDUSTRIAL ETXEGU SL</t>
  </si>
  <si>
    <t>507.</t>
  </si>
  <si>
    <t>PALBERCAR SOLUTION IND SOCIEDAD LIMITADA</t>
  </si>
  <si>
    <t>508.</t>
  </si>
  <si>
    <t>ENVASES TECNICOS LOBRA SL</t>
  </si>
  <si>
    <t>509.</t>
  </si>
  <si>
    <t>CARROCERIAS OKA SA</t>
  </si>
  <si>
    <t>510.</t>
  </si>
  <si>
    <t>MADERAS YURREBASO SA</t>
  </si>
  <si>
    <t>511.</t>
  </si>
  <si>
    <t>NACIL MEDICA4 GROUP SOCIEDAD LIMITADA.</t>
  </si>
  <si>
    <t>512.</t>
  </si>
  <si>
    <t>LOGINTEGRAL EXPRESS SL</t>
  </si>
  <si>
    <t>513.</t>
  </si>
  <si>
    <t>AUTOCARES DE ZALLA SL</t>
  </si>
  <si>
    <t>514.</t>
  </si>
  <si>
    <t>MAS KE PAN SIGLO XXI SLL</t>
  </si>
  <si>
    <t>515.</t>
  </si>
  <si>
    <t>MECANIZADOS ASUA SL</t>
  </si>
  <si>
    <t>516.</t>
  </si>
  <si>
    <t>REPARACIONES SAMUR SA</t>
  </si>
  <si>
    <t>517.</t>
  </si>
  <si>
    <t>J.M.S. TERMOFIG SOCIEDAD LIMITADA.</t>
  </si>
  <si>
    <t>518.</t>
  </si>
  <si>
    <t>TALLERES MECANICOS AGGA SA</t>
  </si>
  <si>
    <t>519.</t>
  </si>
  <si>
    <t>PERMAR ALMACENAJE S.L.</t>
  </si>
  <si>
    <t>520.</t>
  </si>
  <si>
    <t>KUKUMA ESKOLAKO MATERIALA SOCIEDAD LIMITADA</t>
  </si>
  <si>
    <t>521.</t>
  </si>
  <si>
    <t>TRANSFORMACION DE PLASTICOS ORBEA SOCIEDAD ANONIMA</t>
  </si>
  <si>
    <t>522.</t>
  </si>
  <si>
    <t>MERCARRETILLAS SL</t>
  </si>
  <si>
    <t>523.</t>
  </si>
  <si>
    <t>MONTAJES ELECTRICOS ARALAR SOCIEDAD LIMITADA.</t>
  </si>
  <si>
    <t>524.</t>
  </si>
  <si>
    <t>ISASI MATERIALES SL</t>
  </si>
  <si>
    <t>525.</t>
  </si>
  <si>
    <t>RECINFOR SL</t>
  </si>
  <si>
    <t>526.</t>
  </si>
  <si>
    <t>LANGUAGE SCHOOL SOCIEDAD LIMITADA</t>
  </si>
  <si>
    <t>527.</t>
  </si>
  <si>
    <t>PLASINCO SOCIEDAD LIMITADA.</t>
  </si>
  <si>
    <t>528.</t>
  </si>
  <si>
    <t>SEPROGIN SISTEMAS DE SEGURIDAD SOCIEDAD ANONIMA</t>
  </si>
  <si>
    <t>529.</t>
  </si>
  <si>
    <t>ILARDIA CONEXIONES ELECTRICAS SA</t>
  </si>
  <si>
    <t>530.</t>
  </si>
  <si>
    <t>GRAFICAS UNCILLA SA</t>
  </si>
  <si>
    <t>531.</t>
  </si>
  <si>
    <t>INDUSTRIAS DE ACABADOS GALVANICOS SL</t>
  </si>
  <si>
    <t>532.</t>
  </si>
  <si>
    <t>ELECTRICIDAD ARGI-OLA SL</t>
  </si>
  <si>
    <t>533.</t>
  </si>
  <si>
    <t>EMBALASER SL</t>
  </si>
  <si>
    <t>534.</t>
  </si>
  <si>
    <t>SERCONTROL 2000 SOCIEDAD LIMITADA</t>
  </si>
  <si>
    <t>535.</t>
  </si>
  <si>
    <t>INSTITUTO DE FORMACION PRACTICA DE RIESGOS LABORALES SOCIEDAD LIMITADA</t>
  </si>
  <si>
    <t>536.</t>
  </si>
  <si>
    <t>IBIL GESTOR DE CARGA DE VEHICULO ELECTRICO SOCIEDAD ANONIMA</t>
  </si>
  <si>
    <t>537.</t>
  </si>
  <si>
    <t>FERRETERIA ARBERAS SL</t>
  </si>
  <si>
    <t>538.</t>
  </si>
  <si>
    <t>MANUFACTURAS INDUSTRIALES Y MECANIZACIONES SA</t>
  </si>
  <si>
    <t>539.</t>
  </si>
  <si>
    <t>SUMINISTROS Y MONTAJES E D A ORDUKO SOCIEDAD LIMITADA</t>
  </si>
  <si>
    <t>540.</t>
  </si>
  <si>
    <t>EKOLEDS INNOVATIONS SL</t>
  </si>
  <si>
    <t>541.</t>
  </si>
  <si>
    <t>ASESORIA ZARRA Y GORKA SL</t>
  </si>
  <si>
    <t>542.</t>
  </si>
  <si>
    <t>KOALA ROTULACION SL</t>
  </si>
  <si>
    <t>543.</t>
  </si>
  <si>
    <t>K OLABERA SL</t>
  </si>
  <si>
    <t>544.</t>
  </si>
  <si>
    <t>JM SEMICONDUCTORES SL</t>
  </si>
  <si>
    <t>545.</t>
  </si>
  <si>
    <t>HARESI SERVICIOS INFORMATICOS SOCIEDAD LIMITADA.</t>
  </si>
  <si>
    <t>546.</t>
  </si>
  <si>
    <t>DECOLETAJE GAMMA S.C.L.</t>
  </si>
  <si>
    <t>547.</t>
  </si>
  <si>
    <t>HOTEL HOGAR BIZKAIA SL</t>
  </si>
  <si>
    <t>548.</t>
  </si>
  <si>
    <t>RECICLAJE DE CONSUMIBLES OFIMATICOS IBAIZABAL SL</t>
  </si>
  <si>
    <t>549.</t>
  </si>
  <si>
    <t>ACICAE CLUSTER DE AUTOMOCION DEL PAIS</t>
  </si>
  <si>
    <t>550.</t>
  </si>
  <si>
    <t>RACING TOLUA SOCIEDAD LIMITADA</t>
  </si>
  <si>
    <t>551.</t>
  </si>
  <si>
    <t>ARTES GRAFICAS GOYA SOCIEDAD LIMITADA</t>
  </si>
  <si>
    <t>552.</t>
  </si>
  <si>
    <t>OBLOMOV SOCIEDAD LIMITADA</t>
  </si>
  <si>
    <t>553.</t>
  </si>
  <si>
    <t>IRAZABAL FERRETERIA SL</t>
  </si>
  <si>
    <t>554.</t>
  </si>
  <si>
    <t>MARKAIDA ALQUILERES Y SUMINISTROS SL</t>
  </si>
  <si>
    <t>555.</t>
  </si>
  <si>
    <t>ERLETXES INYECCION SLL</t>
  </si>
  <si>
    <t>556.</t>
  </si>
  <si>
    <t>MONTAJES GARRA SL</t>
  </si>
  <si>
    <t>557.</t>
  </si>
  <si>
    <t>ENVASADOS TALAI MENDI, SA</t>
  </si>
  <si>
    <t>558.</t>
  </si>
  <si>
    <t>LIMPIEZAS BASAURI SL</t>
  </si>
  <si>
    <t>559.</t>
  </si>
  <si>
    <t>LANKOPI SOCIEDAD ANONIMA</t>
  </si>
  <si>
    <t>560.</t>
  </si>
  <si>
    <t>TAK LEARNING SL</t>
  </si>
  <si>
    <t>561.</t>
  </si>
  <si>
    <t>TRANSPORTES CON GRUA BLANCO SL</t>
  </si>
  <si>
    <t>562.</t>
  </si>
  <si>
    <t>VAIFER HERRAMIENTAS Y AFILADOS SL</t>
  </si>
  <si>
    <t>563.</t>
  </si>
  <si>
    <t>DECOLETADOS Y MECANIZADOS S.A.</t>
  </si>
  <si>
    <t>564.</t>
  </si>
  <si>
    <t>ZAMUNDI INGENIERIA DE SISTEMAS SL</t>
  </si>
  <si>
    <t>565.</t>
  </si>
  <si>
    <t>HERMANOS SARACHAGA SOCIEDAD LIMITADA</t>
  </si>
  <si>
    <t>566.</t>
  </si>
  <si>
    <t>TECHNIQUES SURFACES EIZEN PAIS VASCO SL.</t>
  </si>
  <si>
    <t>567.</t>
  </si>
  <si>
    <t>COMPLEMENTOS Y SOLUCIONES URBANAS DEL NORTE SOCIEDAD LIMITADA.</t>
  </si>
  <si>
    <t>AYALA/AIARA</t>
  </si>
  <si>
    <t>568.</t>
  </si>
  <si>
    <t>HIERROS EZEQUIEL SL</t>
  </si>
  <si>
    <t>569.</t>
  </si>
  <si>
    <t>IBEC SYSTEMS SOCIEDAD LIMITADA</t>
  </si>
  <si>
    <t>570.</t>
  </si>
  <si>
    <t>HEZILAN SCOOP</t>
  </si>
  <si>
    <t>571.</t>
  </si>
  <si>
    <t>LABMETRO SERVICIOS DE METROLOGIA SL.</t>
  </si>
  <si>
    <t>572.</t>
  </si>
  <si>
    <t>TEYCOMAN SOCIEDAD LIMITADA</t>
  </si>
  <si>
    <t>573.</t>
  </si>
  <si>
    <t>OPTICA EGUREN SA</t>
  </si>
  <si>
    <t>574.</t>
  </si>
  <si>
    <t>A.B.M. GARRAIOAK SOCIEDAD LIMITADA.</t>
  </si>
  <si>
    <t>575.</t>
  </si>
  <si>
    <t>AUDIOVISUALES EXTREMIANA SL</t>
  </si>
  <si>
    <t>576.</t>
  </si>
  <si>
    <t>COMPONENTES ELECTRONICOS TECNOMEGA SL</t>
  </si>
  <si>
    <t>577.</t>
  </si>
  <si>
    <t>MONTAJES EZKUR SL</t>
  </si>
  <si>
    <t>578.</t>
  </si>
  <si>
    <t>ANGEL VIVANCO Y SERVICIOS SL</t>
  </si>
  <si>
    <t>579.</t>
  </si>
  <si>
    <t>DETERBI 2015 SOCIEDAD LIMITADA.</t>
  </si>
  <si>
    <t>580.</t>
  </si>
  <si>
    <t>ESTAMPACIONES LUCIO SA</t>
  </si>
  <si>
    <t>581.</t>
  </si>
  <si>
    <t>CORTE Y SUMINISTROS SOCIEDAD LIMITADA</t>
  </si>
  <si>
    <t>582.</t>
  </si>
  <si>
    <t>GREGORIO FERNANDEZ SL</t>
  </si>
  <si>
    <t>583.</t>
  </si>
  <si>
    <t>PAPELES NAVARRO SA</t>
  </si>
  <si>
    <t>584.</t>
  </si>
  <si>
    <t>AUTOCARES OLEA SL</t>
  </si>
  <si>
    <t>585.</t>
  </si>
  <si>
    <t>SAYMA AUDITORES SL.</t>
  </si>
  <si>
    <t>586.</t>
  </si>
  <si>
    <t>TRANSPORTADORAS TRANSMISIONES Y DERIVADOS SL</t>
  </si>
  <si>
    <t>587.</t>
  </si>
  <si>
    <t>AUTOCARES VILLA GARCIA SOCIEDAD LIMITADA</t>
  </si>
  <si>
    <t>588.</t>
  </si>
  <si>
    <t>PHASE SL</t>
  </si>
  <si>
    <t>589.</t>
  </si>
  <si>
    <t>RADIO RHIN SA</t>
  </si>
  <si>
    <t>590.</t>
  </si>
  <si>
    <t>AURKI SELECCION Y FORMACION SL</t>
  </si>
  <si>
    <t>ORDIZIA</t>
  </si>
  <si>
    <t>591.</t>
  </si>
  <si>
    <t>ZUKU SA</t>
  </si>
  <si>
    <t>592.</t>
  </si>
  <si>
    <t>RELASA 2015 SOCIEDAD LIMITADA.</t>
  </si>
  <si>
    <t>593.</t>
  </si>
  <si>
    <t>DECOLETAJES HERCA SL</t>
  </si>
  <si>
    <t>594.</t>
  </si>
  <si>
    <t>BASQUE PACK SOCIEDAD ANONIMA.</t>
  </si>
  <si>
    <t>595.</t>
  </si>
  <si>
    <t>INAS MUJICA SOCIEDAD LIMITADA.</t>
  </si>
  <si>
    <t>596.</t>
  </si>
  <si>
    <t>TECLAPLAST SOCIEDAD ANONIMA LABORAL</t>
  </si>
  <si>
    <t>597.</t>
  </si>
  <si>
    <t>APLICACIONES DEL ALUMINIO SA</t>
  </si>
  <si>
    <t>598.</t>
  </si>
  <si>
    <t>CRISTALERIA BIZKOR-ARGI SL</t>
  </si>
  <si>
    <t>599.</t>
  </si>
  <si>
    <t>TEK SUPPORT SYSTEMS SOCIEDAD LIMITADA.</t>
  </si>
  <si>
    <t>600.</t>
  </si>
  <si>
    <t>LURKOI APLICACIONES TECNICAS DE LA MADERA SL</t>
  </si>
  <si>
    <t>601.</t>
  </si>
  <si>
    <t>APLICACIONES ELECTRICAS IZARAK SOCIEDAD LIMITADA</t>
  </si>
  <si>
    <t>602.</t>
  </si>
  <si>
    <t>MAQUINARIA Y UTILES SL</t>
  </si>
  <si>
    <t>B20155636</t>
  </si>
  <si>
    <t>603.</t>
  </si>
  <si>
    <t>TOUR MENSAJEROS EIBAR SL</t>
  </si>
  <si>
    <t>604.</t>
  </si>
  <si>
    <t>ESDA FOTOCOMPOSICION Y FOTOMECANICA SL</t>
  </si>
  <si>
    <t>605.</t>
  </si>
  <si>
    <t>METALURGICAS DUARTE S.L.</t>
  </si>
  <si>
    <t>606.</t>
  </si>
  <si>
    <t>MADERAS URKIA SL</t>
  </si>
  <si>
    <t>607.</t>
  </si>
  <si>
    <t>INMOBEGOÑA SL</t>
  </si>
  <si>
    <t>608.</t>
  </si>
  <si>
    <t>SONDITEJ REFORMAS SL</t>
  </si>
  <si>
    <t>609.</t>
  </si>
  <si>
    <t>AISLANTES Y COBRE M&amp;A SL.</t>
  </si>
  <si>
    <t>610.</t>
  </si>
  <si>
    <t>FABILSA SL</t>
  </si>
  <si>
    <t>611.</t>
  </si>
  <si>
    <t>HERGASA AGRICOLA SOCIEDAD LIMITADA.</t>
  </si>
  <si>
    <t>612.</t>
  </si>
  <si>
    <t>ARTES GRAFICAS IRALA SOCIEDAD LIMITADA</t>
  </si>
  <si>
    <t>613.</t>
  </si>
  <si>
    <t>IBIL LASER SL</t>
  </si>
  <si>
    <t>614.</t>
  </si>
  <si>
    <t>EMBALAJES LIMART SL</t>
  </si>
  <si>
    <t>615.</t>
  </si>
  <si>
    <t>FUNDICIONES LOMBIDE SA</t>
  </si>
  <si>
    <t>616.</t>
  </si>
  <si>
    <t>COMPRAS Y SUMINISTROS SOCIEDAD ANONIMA</t>
  </si>
  <si>
    <t>617.</t>
  </si>
  <si>
    <t>TECNICAS Y UTILES DE LIMPIEZA SA</t>
  </si>
  <si>
    <t>618.</t>
  </si>
  <si>
    <t>YACO SL</t>
  </si>
  <si>
    <t>619.</t>
  </si>
  <si>
    <t>GALARKI SCOOPL</t>
  </si>
  <si>
    <t>620.</t>
  </si>
  <si>
    <t>COOPERATIVA AGRICOLA GANADERA DE ZAMUDIO</t>
  </si>
  <si>
    <t>621.</t>
  </si>
  <si>
    <t>GARAJE MIGUEL SL</t>
  </si>
  <si>
    <t>622.</t>
  </si>
  <si>
    <t>TALLERES DIESEL MONTORRA SL</t>
  </si>
  <si>
    <t>623.</t>
  </si>
  <si>
    <t>AULESTI OKINDEGIA SL</t>
  </si>
  <si>
    <t>AULESTI</t>
  </si>
  <si>
    <t>624.</t>
  </si>
  <si>
    <t>IMPRENTA IGLESIAS SL</t>
  </si>
  <si>
    <t>625.</t>
  </si>
  <si>
    <t>MONTAJES Y CUBIERTAS RIVER SCOOPL</t>
  </si>
  <si>
    <t>626.</t>
  </si>
  <si>
    <t>MIKELDI REGALO PUBLICITARIO SLL</t>
  </si>
  <si>
    <t>627.</t>
  </si>
  <si>
    <t>EDITORA DEL PAIS VASCO 93, SA</t>
  </si>
  <si>
    <t>628.</t>
  </si>
  <si>
    <t>ELKARGI CONSULTORES SL.</t>
  </si>
  <si>
    <t>629.</t>
  </si>
  <si>
    <t>ANALISIS BIOLOGICOS BIOTALDE SL</t>
  </si>
  <si>
    <t>630.</t>
  </si>
  <si>
    <t>HOSTELCO SL</t>
  </si>
  <si>
    <t>631.</t>
  </si>
  <si>
    <t>SUMELEC VIZCAYA SL</t>
  </si>
  <si>
    <t>632.</t>
  </si>
  <si>
    <t>GRUAS IRU SL</t>
  </si>
  <si>
    <t>633.</t>
  </si>
  <si>
    <t>AXULAR EXPRESS SOCIEDAD LIMITADA</t>
  </si>
  <si>
    <t>634.</t>
  </si>
  <si>
    <t>SUMINISTROS JESIBAR SOCIEDAD ANONIMA</t>
  </si>
  <si>
    <t>635.</t>
  </si>
  <si>
    <t>EXCURSIONES JAI ALAI SL</t>
  </si>
  <si>
    <t>636.</t>
  </si>
  <si>
    <t>FONTANERIA DUAM SL</t>
  </si>
  <si>
    <t>637.</t>
  </si>
  <si>
    <t>SUMINISTROS SISTEMAS DE IMPRESION SERVILAN SL</t>
  </si>
  <si>
    <t>638.</t>
  </si>
  <si>
    <t>URGAI IMPORT SL.</t>
  </si>
  <si>
    <t>639.</t>
  </si>
  <si>
    <t>ESTAMPACIONES BILBAO SL</t>
  </si>
  <si>
    <t>640.</t>
  </si>
  <si>
    <t>VIVEROS FADURA SOCIEDAD LIMITADA.</t>
  </si>
  <si>
    <t>641.</t>
  </si>
  <si>
    <t>ELECTRICIDAD IRAZOLA SL</t>
  </si>
  <si>
    <t>642.</t>
  </si>
  <si>
    <t>PLAYSER ELEVACION SOCIEDAD LIMITADA</t>
  </si>
  <si>
    <t>643.</t>
  </si>
  <si>
    <t>IBARRETA 2000 SA</t>
  </si>
  <si>
    <t>644.</t>
  </si>
  <si>
    <t>TRANSPORTES EGOITZ URRUTIA SL</t>
  </si>
  <si>
    <t>645.</t>
  </si>
  <si>
    <t>SINTERSA HERRAMIENTAS PARA MADERA SOCIEDAD LIMITADA.</t>
  </si>
  <si>
    <t>646.</t>
  </si>
  <si>
    <t>WALL STREET LOGISTIC SA</t>
  </si>
  <si>
    <t>647.</t>
  </si>
  <si>
    <t>INOXKEA HIRI-ALTZARIAK SL</t>
  </si>
  <si>
    <t>648.</t>
  </si>
  <si>
    <t>GAMA-HA SERVICIOS INTEGRALES SOCIEDAD LIMITADA</t>
  </si>
  <si>
    <t>649.</t>
  </si>
  <si>
    <t>LURBETA SOCIEDAD LIMITADA.</t>
  </si>
  <si>
    <t>650.</t>
  </si>
  <si>
    <t>SUNTECH SISTEMAS DE MONTAJE SL</t>
  </si>
  <si>
    <t>651.</t>
  </si>
  <si>
    <t>REVIPLAST SL</t>
  </si>
  <si>
    <t>652.</t>
  </si>
  <si>
    <t>ARDOAK SL</t>
  </si>
  <si>
    <t>653.</t>
  </si>
  <si>
    <t>LARA RODRIGO SERVICIOS SL</t>
  </si>
  <si>
    <t>654.</t>
  </si>
  <si>
    <t>PAPYNDUX SA</t>
  </si>
  <si>
    <t>655.</t>
  </si>
  <si>
    <t>GESTION DE HERRAMIENTAS DE CORTE SLL</t>
  </si>
  <si>
    <t>656.</t>
  </si>
  <si>
    <t>EFD INDUCTION SL</t>
  </si>
  <si>
    <t>657.</t>
  </si>
  <si>
    <t>BURDIN SUMINISTROS SL</t>
  </si>
  <si>
    <t>658.</t>
  </si>
  <si>
    <t>LANDARE HAZTEGIA SL</t>
  </si>
  <si>
    <t>659.</t>
  </si>
  <si>
    <t>BARRISTU SOCIEDAD LIMITADA</t>
  </si>
  <si>
    <t>660.</t>
  </si>
  <si>
    <t>TEKNODIDAKTIKA SOCIEDAD LIMITADA.</t>
  </si>
  <si>
    <t>661.</t>
  </si>
  <si>
    <t>COLEGIO OFICIAL DE INGENIEROS TECNICOS I</t>
  </si>
  <si>
    <t>662.</t>
  </si>
  <si>
    <t>KONTUS SL</t>
  </si>
  <si>
    <t>663.</t>
  </si>
  <si>
    <t>SEGURILIGHT SEÑALIZACION SOCIEDAD DE RESPONSABILIDAD LIMITADA LABORAL.</t>
  </si>
  <si>
    <t>664.</t>
  </si>
  <si>
    <t>ZALLO BARRI SOCIEDAD LIMITADA.</t>
  </si>
  <si>
    <t>665.</t>
  </si>
  <si>
    <t>VIVEROS GONDRA SL</t>
  </si>
  <si>
    <t>666.</t>
  </si>
  <si>
    <t>CURTIDOS CALLE 2007 SOCIEDAD LIMITADA.</t>
  </si>
  <si>
    <t>667.</t>
  </si>
  <si>
    <t>PLASTICOS IEBI SL</t>
  </si>
  <si>
    <t>668.</t>
  </si>
  <si>
    <t>BASCULAS SAMSO SA</t>
  </si>
  <si>
    <t>669.</t>
  </si>
  <si>
    <t>INFONALIA SL</t>
  </si>
  <si>
    <t>670.</t>
  </si>
  <si>
    <t>PRODUCTOS VULCANIZADOS, SA</t>
  </si>
  <si>
    <t>671.</t>
  </si>
  <si>
    <t>IPAR-TECNIC SL</t>
  </si>
  <si>
    <t>672.</t>
  </si>
  <si>
    <t>MATERIALES DE CONSTRUCCION URAIN SL</t>
  </si>
  <si>
    <t>673.</t>
  </si>
  <si>
    <t>ANGEL GARCIA ITURRALDE SA</t>
  </si>
  <si>
    <t>674.</t>
  </si>
  <si>
    <t>S.M.K. SUMINISTROS DE MAQUINAS Y PRODUCTOS QUIMICOS SOCIEDAD LIMITADA.</t>
  </si>
  <si>
    <t>675.</t>
  </si>
  <si>
    <t>TALLERES METALICOS ROKU BI SL</t>
  </si>
  <si>
    <t>676.</t>
  </si>
  <si>
    <t>INFORLUR SL</t>
  </si>
  <si>
    <t>677.</t>
  </si>
  <si>
    <t>NORTE BATERIAS SL</t>
  </si>
  <si>
    <t>678.</t>
  </si>
  <si>
    <t>BATERIAS DEL NORTE 2006 SOCIEDAD LIMITADA</t>
  </si>
  <si>
    <t>679.</t>
  </si>
  <si>
    <t>TUMAKER SL.</t>
  </si>
  <si>
    <t>680.</t>
  </si>
  <si>
    <t>JUAN JOSE MONTEJO SL</t>
  </si>
  <si>
    <t>681.</t>
  </si>
  <si>
    <t>LOTZEKO EUROPA SOCIEDAD LIMITADA</t>
  </si>
  <si>
    <t>682.</t>
  </si>
  <si>
    <t>MAYORISTA DE MERCERIA MIGUEL MOYA SL</t>
  </si>
  <si>
    <t>683.</t>
  </si>
  <si>
    <t>IPERLAN SISTEMAS SLL</t>
  </si>
  <si>
    <t>684.</t>
  </si>
  <si>
    <t>CONTENEDORES TXORIERI SL</t>
  </si>
  <si>
    <t>685.</t>
  </si>
  <si>
    <t>FIDAYA SL</t>
  </si>
  <si>
    <t>686.</t>
  </si>
  <si>
    <t>ASISMANINFO SL</t>
  </si>
  <si>
    <t>687.</t>
  </si>
  <si>
    <t>AXON &amp; VQS SL</t>
  </si>
  <si>
    <t>688.</t>
  </si>
  <si>
    <t>UMI COMUNICACIONES 2003 SL</t>
  </si>
  <si>
    <t>689.</t>
  </si>
  <si>
    <t>XELKO LOGIC CONTROL SOCIEDAD LIMITADA.</t>
  </si>
  <si>
    <t>690.</t>
  </si>
  <si>
    <t>ARRI AUTOMOCION SL</t>
  </si>
  <si>
    <t>691.</t>
  </si>
  <si>
    <t>HERRAMIENTAS ERDEKO SL</t>
  </si>
  <si>
    <t>692.</t>
  </si>
  <si>
    <t>AREAK SL</t>
  </si>
  <si>
    <t>693.</t>
  </si>
  <si>
    <t>MIGUEL CORREDOR SL</t>
  </si>
  <si>
    <t>694.</t>
  </si>
  <si>
    <t>ALIMENTACION AYGU SL</t>
  </si>
  <si>
    <t>695.</t>
  </si>
  <si>
    <t>TRAINTIUM SOCIEDAD LIMITADA.  (EXTINGUIDA)</t>
  </si>
  <si>
    <t>696.</t>
  </si>
  <si>
    <t>ALKIBIZ SL</t>
  </si>
  <si>
    <t>697.</t>
  </si>
  <si>
    <t>AIKE SISTEMAS SL</t>
  </si>
  <si>
    <t>698.</t>
  </si>
  <si>
    <t>SUMINISTROS GORBEA SL</t>
  </si>
  <si>
    <t>699.</t>
  </si>
  <si>
    <t>BILBAINA DE AUTOMATIZACION Y CONTROL SL</t>
  </si>
  <si>
    <t>700.</t>
  </si>
  <si>
    <t>GAZTELONDO SA</t>
  </si>
  <si>
    <t>701.</t>
  </si>
  <si>
    <t>RESISTENCIAS REYTER SL</t>
  </si>
  <si>
    <t>702.</t>
  </si>
  <si>
    <t>BENGOZARRA ERAIKUNTZA METALIKOAK 1963 SA</t>
  </si>
  <si>
    <t>703.</t>
  </si>
  <si>
    <t>MJ OÑATE SL</t>
  </si>
  <si>
    <t>704.</t>
  </si>
  <si>
    <t>CADVISION SL</t>
  </si>
  <si>
    <t>705.</t>
  </si>
  <si>
    <t>TRABIO SL</t>
  </si>
  <si>
    <t>706.</t>
  </si>
  <si>
    <t>SERGAMAT SL</t>
  </si>
  <si>
    <t>707.</t>
  </si>
  <si>
    <t>OARBEASKOA LANTEGIA SL</t>
  </si>
  <si>
    <t>708.</t>
  </si>
  <si>
    <t>HERRERIA Y CERRAJERIA URDAMPILLETA SL</t>
  </si>
  <si>
    <t>709.</t>
  </si>
  <si>
    <t>TALLERES OCINE SL</t>
  </si>
  <si>
    <t>710.</t>
  </si>
  <si>
    <t>BOBINADOS ZAREL SA (EN LIQUIDACION)</t>
  </si>
  <si>
    <t>711.</t>
  </si>
  <si>
    <t>TRANSPORTES Y EXPLOTACIONES FORESTALES ERLEAGA ANAIAK SL</t>
  </si>
  <si>
    <t>712.</t>
  </si>
  <si>
    <t>ABRAHER SL</t>
  </si>
  <si>
    <t>713.</t>
  </si>
  <si>
    <t>TXIMELETA MARGOAK SOCIEDAD LIMITADA.</t>
  </si>
  <si>
    <t>714.</t>
  </si>
  <si>
    <t>SY MATERIALES ELECTROSOLDADURA SL</t>
  </si>
  <si>
    <t>715.</t>
  </si>
  <si>
    <t>MAIDER SL</t>
  </si>
  <si>
    <t>716.</t>
  </si>
  <si>
    <t>DIDACTICA SL</t>
  </si>
  <si>
    <t>717.</t>
  </si>
  <si>
    <t>IPAR BLAST S. L.</t>
  </si>
  <si>
    <t>718.</t>
  </si>
  <si>
    <t>MIL TEK NORTE SOCIEDAD LIMITADA.</t>
  </si>
  <si>
    <t>719.</t>
  </si>
  <si>
    <t>MID REPARACIONES SOCIEDAD LIMITADA.</t>
  </si>
  <si>
    <t>720.</t>
  </si>
  <si>
    <t>TALLERES SANMARTIN ANAIAK SOCIEDAD LIMITADA.</t>
  </si>
  <si>
    <t>721.</t>
  </si>
  <si>
    <t>INMEMA SOCIEDAD ANONIMA</t>
  </si>
  <si>
    <t>722.</t>
  </si>
  <si>
    <t>RENTOBRA ALQUILER MAQUINARIA DE OBRA SOCIEDAD LIMITADA</t>
  </si>
  <si>
    <t>723.</t>
  </si>
  <si>
    <t>GAMAPRINT SL</t>
  </si>
  <si>
    <t>724.</t>
  </si>
  <si>
    <t>ZUBI SL</t>
  </si>
  <si>
    <t>725.</t>
  </si>
  <si>
    <t>KONER ELEVACION SOCIEDAD LIMITADA.</t>
  </si>
  <si>
    <t>726.</t>
  </si>
  <si>
    <t>MELIMAR VERIFICADOS Y MONTAJES SL</t>
  </si>
  <si>
    <t>727.</t>
  </si>
  <si>
    <t>PROMOTORA VASCONGADA DE DISTRIBUCIONES SA</t>
  </si>
  <si>
    <t>728.</t>
  </si>
  <si>
    <t>JV 2 SL</t>
  </si>
  <si>
    <t>729.</t>
  </si>
  <si>
    <t>HOSTELERIA LEZAMA LEGUIZAMON SL</t>
  </si>
  <si>
    <t>730.</t>
  </si>
  <si>
    <t>IMAGE IMPRESION Y PUBLICIDAD SOCIEDAD LIMITADA.</t>
  </si>
  <si>
    <t>731.</t>
  </si>
  <si>
    <t>INDARTEX SL</t>
  </si>
  <si>
    <t>732.</t>
  </si>
  <si>
    <t>REHOFRIM HNOS SLL</t>
  </si>
  <si>
    <t>733.</t>
  </si>
  <si>
    <t>ALMACENES DE CONSTRUCCION Y DECORACION SANTUTXU SL</t>
  </si>
  <si>
    <t>734.</t>
  </si>
  <si>
    <t>ANASTASIO MENDICUTE SA</t>
  </si>
  <si>
    <t>SORALUZE/PLACENCIA DE LAS ARMAS</t>
  </si>
  <si>
    <t>735.</t>
  </si>
  <si>
    <t>GOISAR I.C.M. SOCIEDAD LIMITADA.</t>
  </si>
  <si>
    <t>736.</t>
  </si>
  <si>
    <t>TALLERES ZURE-ZIUR SL</t>
  </si>
  <si>
    <t>737.</t>
  </si>
  <si>
    <t>MECANIZADOS DE PRECISION INDE SOCIEDAD LIMITADA.</t>
  </si>
  <si>
    <t>738.</t>
  </si>
  <si>
    <t>MANUFACTURAS DMP, SA L (EN LIQUIDACION)</t>
  </si>
  <si>
    <t>739.</t>
  </si>
  <si>
    <t>APLISOLDA SOCIEDAD LIMITADA.</t>
  </si>
  <si>
    <t>740.</t>
  </si>
  <si>
    <t>IPAR ELEKTRONIKA SL</t>
  </si>
  <si>
    <t>741.</t>
  </si>
  <si>
    <t>BRICO ENCARTACIONES SL</t>
  </si>
  <si>
    <t>742.</t>
  </si>
  <si>
    <t>J Y P AIR SL  (EXTINGUIDA)</t>
  </si>
  <si>
    <t>743.</t>
  </si>
  <si>
    <t>INSTALACIONES ELECTRICAS ARGIA SOCIEDAD LIMITADA.</t>
  </si>
  <si>
    <t>744.</t>
  </si>
  <si>
    <t>SUMINISTRO A OFICINAS BEGAI SL</t>
  </si>
  <si>
    <t>745.</t>
  </si>
  <si>
    <t>DSV INGINOVA INDUSTRIAL SOCIEDAD LIMITADA</t>
  </si>
  <si>
    <t>746.</t>
  </si>
  <si>
    <t>EXCLUSIVAS MARBIL SL</t>
  </si>
  <si>
    <t>747.</t>
  </si>
  <si>
    <t>ELECTRONICA MARBAN SL</t>
  </si>
  <si>
    <t>748.</t>
  </si>
  <si>
    <t>ERREMENTARIETXE SL</t>
  </si>
  <si>
    <t>749.</t>
  </si>
  <si>
    <t>SOLDADURA DE BIZKAIA SL</t>
  </si>
  <si>
    <t>750.</t>
  </si>
  <si>
    <t>COMERCIAL TEXTIL MAQUINARIA COTEXMA SL</t>
  </si>
  <si>
    <t>751.</t>
  </si>
  <si>
    <t>ALDEKO CONSUMIBLES Y MAQUINARIA SL</t>
  </si>
  <si>
    <t>752.</t>
  </si>
  <si>
    <t>GRABADOS INDUSTRIALES MANU MAQUIMA SOCIEDAD LIMITADA.</t>
  </si>
  <si>
    <t>753.</t>
  </si>
  <si>
    <t>COFINOR BERRI SL</t>
  </si>
  <si>
    <t>754.</t>
  </si>
  <si>
    <t>ALUMEKA EQUIPACION INTEGRAL DE OFICINAS SOCIEDAD LIMITADA.</t>
  </si>
  <si>
    <t>755.</t>
  </si>
  <si>
    <t>JANA -TOOLS SL</t>
  </si>
  <si>
    <t>756.</t>
  </si>
  <si>
    <t>COMERCIAL MUNGINOR SL</t>
  </si>
  <si>
    <t>757.</t>
  </si>
  <si>
    <t>SERVICIOS AGRARIOS Y EXCAVACION ETXEBARRIA SL</t>
  </si>
  <si>
    <t>758.</t>
  </si>
  <si>
    <t>DISENO DE PROCESOS AUTOMATICOS DE LA MADERA SOCIEDAD LIMITADA.</t>
  </si>
  <si>
    <t>759.</t>
  </si>
  <si>
    <t>LEAKO GARRAIOAK SOCIEDAD LIMITADA</t>
  </si>
  <si>
    <t>760.</t>
  </si>
  <si>
    <t>BILBAO VERTICAL SL</t>
  </si>
  <si>
    <t>761.</t>
  </si>
  <si>
    <t>LIMIA &amp; MARTIN SL</t>
  </si>
  <si>
    <t>762.</t>
  </si>
  <si>
    <t>ELECTRICIDAD UGAO SL</t>
  </si>
  <si>
    <t>763.</t>
  </si>
  <si>
    <t>ZUATZU PUERTAS Y PERSIANAS SOCIEDAD LIMITADA.</t>
  </si>
  <si>
    <t>764.</t>
  </si>
  <si>
    <t>PLASTICOS ZUAZ SL</t>
  </si>
  <si>
    <t>765.</t>
  </si>
  <si>
    <t>COMERCIAL REFRIGERACION FLOWER SL</t>
  </si>
  <si>
    <t>766.</t>
  </si>
  <si>
    <t>INSEC DESINFECCIONES SOCIEDAD LIMITADA.</t>
  </si>
  <si>
    <t>767.</t>
  </si>
  <si>
    <t>TALLERES MECANICOS BAGAL SL</t>
  </si>
  <si>
    <t>768.</t>
  </si>
  <si>
    <t>ELECTRO HERPE SL</t>
  </si>
  <si>
    <t>769.</t>
  </si>
  <si>
    <t>TALLERES GOMALCO SL</t>
  </si>
  <si>
    <t>770.</t>
  </si>
  <si>
    <t>AMATEMANN SL</t>
  </si>
  <si>
    <t>771.</t>
  </si>
  <si>
    <t>ALMACENES GENERALES DE ELECTRICIDAD SOCIEDAD LIMITADA</t>
  </si>
  <si>
    <t>772.</t>
  </si>
  <si>
    <t>ARBOLAN JARDINERIA SL</t>
  </si>
  <si>
    <t>773.</t>
  </si>
  <si>
    <t>DENA DISTRIBUCION ELECTRONICA SL</t>
  </si>
  <si>
    <t>774.</t>
  </si>
  <si>
    <t>LARRAKUSIA SL</t>
  </si>
  <si>
    <t>775.</t>
  </si>
  <si>
    <t>ITURBERO 2000 SOCIEDAD LIMITADA.</t>
  </si>
  <si>
    <t>776.</t>
  </si>
  <si>
    <t>COMERCIAL ALDAZABAL SL</t>
  </si>
  <si>
    <t>777.</t>
  </si>
  <si>
    <t>SERIGRAFIA INDUSTRIAL ARRIGORRIAGA SOCIEDAD LIMITADA LABORAL.</t>
  </si>
  <si>
    <t>778.</t>
  </si>
  <si>
    <t>LOGISTICA Y TRANSPORTES PETRALANDA SL</t>
  </si>
  <si>
    <t>779.</t>
  </si>
  <si>
    <t>IRSAT TALADROS SLU.</t>
  </si>
  <si>
    <t>780.</t>
  </si>
  <si>
    <t>VESPER SOLUTIONS SL</t>
  </si>
  <si>
    <t>781.</t>
  </si>
  <si>
    <t>MODESTO GARCIA E HIJOS SL</t>
  </si>
  <si>
    <t>782.</t>
  </si>
  <si>
    <t>ARQUITECTURA M-47 SL PROFESIONAL</t>
  </si>
  <si>
    <t>783.</t>
  </si>
  <si>
    <t>JOSE ANTONIO ARECHAGA SA</t>
  </si>
  <si>
    <t>784.</t>
  </si>
  <si>
    <t>BIOPROTECCION AMBIENTAL SOCIEDAD LIMITADA</t>
  </si>
  <si>
    <t>785.</t>
  </si>
  <si>
    <t>ARTE BLAMEL SL</t>
  </si>
  <si>
    <t>786.</t>
  </si>
  <si>
    <t>ITURGINTZA ALTAPE SL</t>
  </si>
  <si>
    <t>787.</t>
  </si>
  <si>
    <t>TALLERES ABEL DIEZ SL</t>
  </si>
  <si>
    <t>788.</t>
  </si>
  <si>
    <t>STR 2000 TRATAMIENTO DE RESIDUOS SL</t>
  </si>
  <si>
    <t>789.</t>
  </si>
  <si>
    <t>ROTUR KOPY SOCIEDAD LIMITADA.</t>
  </si>
  <si>
    <t>790.</t>
  </si>
  <si>
    <t>SUMINISTROS IMAGA SOCIEDAD LIMITADA.</t>
  </si>
  <si>
    <t>791.</t>
  </si>
  <si>
    <t>PRODISAL SL</t>
  </si>
  <si>
    <t>792.</t>
  </si>
  <si>
    <t>MECANOGRAFICA BILBAINA S.C.L.</t>
  </si>
  <si>
    <t>793.</t>
  </si>
  <si>
    <t>INGECOR ESTUDIOS Y COORDINACIONES SL</t>
  </si>
  <si>
    <t>794.</t>
  </si>
  <si>
    <t>BATEBIL SL</t>
  </si>
  <si>
    <t>795.</t>
  </si>
  <si>
    <t>VIARCO COMERCIAL HOSTELERA SOCIEDAD LIMITADA.</t>
  </si>
  <si>
    <t>796.</t>
  </si>
  <si>
    <t>MONTAJES Y MANTENIMIENTOS DEL NORTE S.L.</t>
  </si>
  <si>
    <t>797.</t>
  </si>
  <si>
    <t>LASER SERVINSTAL SOCIEDAD LIMITADA.</t>
  </si>
  <si>
    <t>798.</t>
  </si>
  <si>
    <t>LUPAS OFICINAS SL</t>
  </si>
  <si>
    <t>799.</t>
  </si>
  <si>
    <t>GARDEN CONSULTING SL Y ASOCIADOS</t>
  </si>
  <si>
    <t>800.</t>
  </si>
  <si>
    <t>TALLERES LEJARZA SL</t>
  </si>
  <si>
    <t>801.</t>
  </si>
  <si>
    <t>LABORATORIO GESSYMA GALEA SL</t>
  </si>
  <si>
    <t>802.</t>
  </si>
  <si>
    <t>ENDEREZADOS GOIAHEN SL</t>
  </si>
  <si>
    <t>803.</t>
  </si>
  <si>
    <t>MAXI JIE LI SL</t>
  </si>
  <si>
    <t>804.</t>
  </si>
  <si>
    <t>PLASTICOS LEUNAM SL</t>
  </si>
  <si>
    <t>805.</t>
  </si>
  <si>
    <t>INDUSTRIAS GARENA SL</t>
  </si>
  <si>
    <t>806.</t>
  </si>
  <si>
    <t>SONEX SEGURIDAD SL</t>
  </si>
  <si>
    <t>807.</t>
  </si>
  <si>
    <t>TROJAVER SL</t>
  </si>
  <si>
    <t>808.</t>
  </si>
  <si>
    <t>VASCOABRASIVOS SA</t>
  </si>
  <si>
    <t>809.</t>
  </si>
  <si>
    <t>VER-TECH PROYECTOS E INSTALACIONES SOCIEDAD LIMITADA.</t>
  </si>
  <si>
    <t>810.</t>
  </si>
  <si>
    <t>TECNICAS Y SOLUCIONES DE EMBALAR SOCIEDAD LIMITADA.</t>
  </si>
  <si>
    <t>811.</t>
  </si>
  <si>
    <t>BARANDIARAN S.A.  (EXTINGUIDA)</t>
  </si>
  <si>
    <t>812.</t>
  </si>
  <si>
    <t>JUPER LAU SOCIEDAD LIMITADA.</t>
  </si>
  <si>
    <t>813.</t>
  </si>
  <si>
    <t>GARATE INDUSTRI HORNIDURAK SOCIEDAD LIMITADA.</t>
  </si>
  <si>
    <t>814.</t>
  </si>
  <si>
    <t>TORNILLERIA LANDALUCE SA</t>
  </si>
  <si>
    <t>815.</t>
  </si>
  <si>
    <t>SUMINISTROS LABAYRU SL</t>
  </si>
  <si>
    <t>816.</t>
  </si>
  <si>
    <t>IBERBOND DISTRIBUCIONES TECNICAS SL (EN LIQUIDACION)</t>
  </si>
  <si>
    <t>817.</t>
  </si>
  <si>
    <t>ELECTRICIDAD DERIO SOCIEDAD LIMITADA.</t>
  </si>
  <si>
    <t>818.</t>
  </si>
  <si>
    <t>DENAROT SL</t>
  </si>
  <si>
    <t>819.</t>
  </si>
  <si>
    <t>ARTIPLAS MANUTENCION SL</t>
  </si>
  <si>
    <t>820.</t>
  </si>
  <si>
    <t>GARAJE SAN MIGUEL DE IURRETA SL</t>
  </si>
  <si>
    <t>821.</t>
  </si>
  <si>
    <t>NORTE TOUR SL</t>
  </si>
  <si>
    <t>822.</t>
  </si>
  <si>
    <t>MARTINEZ ARRILUCEA SA</t>
  </si>
  <si>
    <t>823.</t>
  </si>
  <si>
    <t>IDEMATIKA SYSTEMS SOCIEDAD LIMITADA.</t>
  </si>
  <si>
    <t>824.</t>
  </si>
  <si>
    <t>CALDERERIA J ARNAIZ SL</t>
  </si>
  <si>
    <t>825.</t>
  </si>
  <si>
    <t>JAUREGUI &amp; GALLASTEGUI SL</t>
  </si>
  <si>
    <t>826.</t>
  </si>
  <si>
    <t>ETIQUETAS PRAD SONDIKA SOCIEDAD LIMITADA.</t>
  </si>
  <si>
    <t>827.</t>
  </si>
  <si>
    <t>TEXILUX SOCIEDAD LIMITADA</t>
  </si>
  <si>
    <t>828.</t>
  </si>
  <si>
    <t>GAUBEKA TAILERRAK SOCIEDAD LIMITADA</t>
  </si>
  <si>
    <t>829.</t>
  </si>
  <si>
    <t>ROTU-NET ROTULACION E IMPRESION DIGITAL SL</t>
  </si>
  <si>
    <t>830.</t>
  </si>
  <si>
    <t>TALLERES AMALTEA SL</t>
  </si>
  <si>
    <t>831.</t>
  </si>
  <si>
    <t>GLASOFONADOS 3000 SL</t>
  </si>
  <si>
    <t>832.</t>
  </si>
  <si>
    <t>SERRERIAS AGUIRRE SL</t>
  </si>
  <si>
    <t>833.</t>
  </si>
  <si>
    <t>ELECHON SOCIEDAD LIMITADA</t>
  </si>
  <si>
    <t>834.</t>
  </si>
  <si>
    <t>SUKALTEK OSTALARITZA SERBITZUAK SOCIEDAD LIMITADA.</t>
  </si>
  <si>
    <t>835.</t>
  </si>
  <si>
    <t>ZURE LEKU SL</t>
  </si>
  <si>
    <t>836.</t>
  </si>
  <si>
    <t>UNGO SA</t>
  </si>
  <si>
    <t>837.</t>
  </si>
  <si>
    <t>DUO INTEGRA 2012 SOCIEDAD LIMITADA.</t>
  </si>
  <si>
    <t>838.</t>
  </si>
  <si>
    <t>ANBAR INGENIERIA INSTALACIONES MANTENIMIENTO SOCIEDAD LIMITADA.</t>
  </si>
  <si>
    <t>839.</t>
  </si>
  <si>
    <t>CIKOREIN SOCIEDAD LIMITADA</t>
  </si>
  <si>
    <t>840.</t>
  </si>
  <si>
    <t>NEKAR VECTORIAL SL</t>
  </si>
  <si>
    <t>841.</t>
  </si>
  <si>
    <t>INDUING SERVICIOS &amp; NETWORKING SOCIEDAD LIMITADA.</t>
  </si>
  <si>
    <t>842.</t>
  </si>
  <si>
    <t>CRIMINAL COMPLIANCE SOCIEDAD LIMITADA.</t>
  </si>
  <si>
    <t>843.</t>
  </si>
  <si>
    <t>OCAZ GESTION SL</t>
  </si>
  <si>
    <t>844.</t>
  </si>
  <si>
    <t>DISEÑO Y SERIGRAFIA SERTEGI SL</t>
  </si>
  <si>
    <t>845.</t>
  </si>
  <si>
    <t>TALLERES MONTORRE SLL</t>
  </si>
  <si>
    <t>846.</t>
  </si>
  <si>
    <t>PROMASA PROMOCION MAQUINARIA Y UTILES SA</t>
  </si>
  <si>
    <t>847.</t>
  </si>
  <si>
    <t>PLASTICOS GOAN SL</t>
  </si>
  <si>
    <t>848.</t>
  </si>
  <si>
    <t>F.A. OFINOR SOCIEDAD LIMITADA.</t>
  </si>
  <si>
    <t>849.</t>
  </si>
  <si>
    <t>GRABADOS BLANCO SOCIEDAD LIMITADA.</t>
  </si>
  <si>
    <t>850.</t>
  </si>
  <si>
    <t>MECANIZADOS FINOS SA</t>
  </si>
  <si>
    <t>851.</t>
  </si>
  <si>
    <t>TROQUELERIA Y MECANIZACION SL</t>
  </si>
  <si>
    <t>852.</t>
  </si>
  <si>
    <t>BIZKAI NET COURIER EXPRESS SOCIEDAD LIMITADA.</t>
  </si>
  <si>
    <t>853.</t>
  </si>
  <si>
    <t>GRAFICAS IZARRA SL</t>
  </si>
  <si>
    <t>854.</t>
  </si>
  <si>
    <t>ELECTRONICA ELANSHA SA</t>
  </si>
  <si>
    <t>855.</t>
  </si>
  <si>
    <t>ESTANTERIAS ALEX SA</t>
  </si>
  <si>
    <t>856.</t>
  </si>
  <si>
    <t>EKONARRO 2000 SOCIEDAD LIMITADA.</t>
  </si>
  <si>
    <t>857.</t>
  </si>
  <si>
    <t>INDUSETI SOCIEDAD LIMITADA.</t>
  </si>
  <si>
    <t>858.</t>
  </si>
  <si>
    <t>MERCADO DE OTXARKOAGA SOCIEDAD LIMITADA</t>
  </si>
  <si>
    <t>859.</t>
  </si>
  <si>
    <t>OXICREW SOCIEDAD LIMITADA.</t>
  </si>
  <si>
    <t>860.</t>
  </si>
  <si>
    <t>CERRAJERIA URGOZO SL</t>
  </si>
  <si>
    <t>861.</t>
  </si>
  <si>
    <t>AFILADO Y VACIADO INDUSTRIAL ABANDO SL</t>
  </si>
  <si>
    <t>862.</t>
  </si>
  <si>
    <t>INYECCIONES EN PLASTICO NIEVES SOCIEDAD LIMITADA.</t>
  </si>
  <si>
    <t>863.</t>
  </si>
  <si>
    <t>ASKAN NORTE SL</t>
  </si>
  <si>
    <t>ZUIA</t>
  </si>
  <si>
    <t>864.</t>
  </si>
  <si>
    <t>COMERCIAL SERANTES 2004 SL</t>
  </si>
  <si>
    <t>865.</t>
  </si>
  <si>
    <t>GRUPO LODINORTE REGENERACION Y EFICIENCIA SOCIEDAD LIMITADA.</t>
  </si>
  <si>
    <t>866.</t>
  </si>
  <si>
    <t>FONTANERIA CALEFACCION Y REFORMAS LA ANTIGUA SL</t>
  </si>
  <si>
    <t>URDUÑA/ORDUÑA</t>
  </si>
  <si>
    <t>867.</t>
  </si>
  <si>
    <t>COMERCIAL PRODUCTOS PLASTICOS SL</t>
  </si>
  <si>
    <t>868.</t>
  </si>
  <si>
    <t>LEJARZA ANAIAK 2015 SOCIEDAD LIMITADA.</t>
  </si>
  <si>
    <t>869.</t>
  </si>
  <si>
    <t>3R3D TECHNOLOGY MATERIALS SL.</t>
  </si>
  <si>
    <t>870.</t>
  </si>
  <si>
    <t>NORTRONIC SL</t>
  </si>
  <si>
    <t>871.</t>
  </si>
  <si>
    <t>EINKOR TEKNOLOGIA SOCIEDAD LIMITADA.</t>
  </si>
  <si>
    <t>872.</t>
  </si>
  <si>
    <t>HAUZOLAN ALTZUSTE SL</t>
  </si>
  <si>
    <t>873.</t>
  </si>
  <si>
    <t>BIONEK CROP SYSTEMS SOCIEDAD LIMITADA.</t>
  </si>
  <si>
    <t>874.</t>
  </si>
  <si>
    <t>GARDEMAT SL</t>
  </si>
  <si>
    <t>875.</t>
  </si>
  <si>
    <t>ETHYL FORMACION Y DESARROLLO SOCIEDAD LIMITADA.</t>
  </si>
  <si>
    <t>876.</t>
  </si>
  <si>
    <t>GRUAS Y TRANSPORTES ATXA ALBISTEGI SOCIEDAD LIMITADA.</t>
  </si>
  <si>
    <t>877.</t>
  </si>
  <si>
    <t>IRUGRAFIC SOCIEDAD LIMITADA.</t>
  </si>
  <si>
    <t>878.</t>
  </si>
  <si>
    <t>LECTURA FACIL EUSKADI IRAKURKETA ERRAZA SOCIEDAD LIMITADA.</t>
  </si>
  <si>
    <t>879.</t>
  </si>
  <si>
    <t>HILERO ZORNOTZAN SOCIEDAD LIMITADA.</t>
  </si>
  <si>
    <t>880.</t>
  </si>
  <si>
    <t>MUNGIKO PLOTTEC SERBITZUAK SL</t>
  </si>
  <si>
    <t>881.</t>
  </si>
  <si>
    <t>HIKARI RESOURCES SL</t>
  </si>
  <si>
    <t>882.</t>
  </si>
  <si>
    <t>DE LA FUENTE LASO SOCIEDAD LIMITADA.  (EXTINGUIDA)</t>
  </si>
  <si>
    <t>883.</t>
  </si>
  <si>
    <t>PR4 TECNOLOGIA SOCIAL SOCIEDAD LIMITADA.</t>
  </si>
  <si>
    <t>884.</t>
  </si>
  <si>
    <t>INDUSTRIAS MECANICAS ROBERTO SL</t>
  </si>
  <si>
    <t>885.</t>
  </si>
  <si>
    <t>KOLDAIN SL</t>
  </si>
  <si>
    <t>886.</t>
  </si>
  <si>
    <t>CARROCERIAS VIPE SL</t>
  </si>
  <si>
    <t>887.</t>
  </si>
  <si>
    <t>O. HOTELERA BILBAO SOCIEDAD LIMITADA.</t>
  </si>
  <si>
    <t>888.</t>
  </si>
  <si>
    <t>SAT HOSTELERIA REPLAY SOCIEDAD LIMITADA.</t>
  </si>
  <si>
    <t>889.</t>
  </si>
  <si>
    <t>GRAFICAS ESKUZA SLL</t>
  </si>
  <si>
    <t>890.</t>
  </si>
  <si>
    <t>EUROACERO ATLANTICO S.A.</t>
  </si>
  <si>
    <t>891.</t>
  </si>
  <si>
    <t>GALVANIZADOS SALA, SOCIEDAD LIMITADA.</t>
  </si>
  <si>
    <t>INVERSIONES</t>
  </si>
  <si>
    <t>IRPF</t>
  </si>
  <si>
    <t>IX=II-(III+IV)</t>
  </si>
  <si>
    <t>PROV. (b)</t>
  </si>
  <si>
    <t>PROV. (n)</t>
  </si>
  <si>
    <t>Ingresos</t>
  </si>
  <si>
    <t>B=V + VIII (II+VI+VII)</t>
  </si>
  <si>
    <t>X</t>
  </si>
  <si>
    <t>Montante inversiones anuales</t>
  </si>
  <si>
    <t>Coste salarial</t>
  </si>
  <si>
    <t>Coste Medio LB</t>
  </si>
  <si>
    <t>Coste medio CAPV</t>
  </si>
  <si>
    <t>A=III+IV+V</t>
  </si>
  <si>
    <t>AHORRO A LA ADMINISTRACIÓN</t>
  </si>
  <si>
    <t>VALOR SOCIAL DE NO MERCADO</t>
  </si>
  <si>
    <t>USUARIOS / FAMILIAS</t>
  </si>
  <si>
    <t>EXTERNALIDADES</t>
  </si>
  <si>
    <t>IMPACTO SOCIAL</t>
  </si>
  <si>
    <t>Ratio Valor Social Integral [VSI]</t>
  </si>
  <si>
    <t>Ratio Equilibrio Social / Mercado</t>
  </si>
  <si>
    <t>Datos que no aparecen en PyG</t>
  </si>
  <si>
    <t>PROXY</t>
  </si>
  <si>
    <t>FINANCIACIÓN</t>
  </si>
  <si>
    <t>Coste salarial hora propia</t>
  </si>
  <si>
    <r>
      <t xml:space="preserve">Σ SS Empresa </t>
    </r>
    <r>
      <rPr>
        <sz val="11"/>
        <color theme="1"/>
        <rFont val="Calibri"/>
        <family val="2"/>
      </rPr>
      <t>˄ SS Trabajadores</t>
    </r>
  </si>
  <si>
    <t>TIPO DE FINANCIACIÓN</t>
  </si>
  <si>
    <t>INGRESOS POR VENTAS</t>
  </si>
  <si>
    <t>SUBVENCIONES GENERALES</t>
  </si>
  <si>
    <t>SUBVENCIONES OBJETO SOCIAL</t>
  </si>
  <si>
    <t>SUBVENCIONES ESPECÍFICAS</t>
  </si>
  <si>
    <t>DONACIONES Y SIMILARES</t>
  </si>
  <si>
    <t>VENTAS DE ACTIVOS</t>
  </si>
  <si>
    <t>EXTRAORDINARIAS</t>
  </si>
  <si>
    <t>PRÓPIA</t>
  </si>
  <si>
    <t>PÚBLICA</t>
  </si>
  <si>
    <t>PRIVADA</t>
  </si>
  <si>
    <t>Ratio sobre Ventas</t>
  </si>
  <si>
    <t>Ratio sobre Activo Fijo</t>
  </si>
  <si>
    <t>Ratio sobre Fondos propios</t>
  </si>
  <si>
    <t>Ratio sobre Pasivo total</t>
  </si>
  <si>
    <t>DATOS BALANCE</t>
  </si>
  <si>
    <t>ACTIVO FIJO</t>
  </si>
  <si>
    <t>FONDOS PROPIOS</t>
  </si>
  <si>
    <t>PASIVO TOTAL</t>
  </si>
  <si>
    <t>Ayuda sustituida</t>
  </si>
  <si>
    <t>Ahorro coste</t>
  </si>
  <si>
    <t>AAPP  /  USUARIOS / FAMILIAS</t>
  </si>
  <si>
    <t>Subvención pública</t>
  </si>
  <si>
    <t>nº Trabajadores/as</t>
  </si>
  <si>
    <t>nº Contratos</t>
  </si>
  <si>
    <t>nº nuevos puestos trabajo</t>
  </si>
  <si>
    <t>Coste empleo EEII</t>
  </si>
  <si>
    <t>Creación nuevos empleos ordinarios</t>
  </si>
  <si>
    <t>nº nuevos puestos trabajo (discapacidad)</t>
  </si>
  <si>
    <t>Subv. Empleo</t>
  </si>
  <si>
    <t xml:space="preserve">CRITERIOS </t>
  </si>
  <si>
    <t>FUENTE DOCUMENTAL / DATOS</t>
  </si>
  <si>
    <t>FAMILIAS</t>
  </si>
  <si>
    <t>8,5 / 13,5</t>
  </si>
  <si>
    <t>Calendario laboral LB</t>
  </si>
  <si>
    <t>USUARIO / FAMILIAS</t>
  </si>
  <si>
    <t>Hora</t>
  </si>
  <si>
    <t>Comida</t>
  </si>
  <si>
    <t>EXTERNALIDAD</t>
  </si>
  <si>
    <t>VALOR SOCIAL GENERADO</t>
  </si>
  <si>
    <t>VALOR DISTRIBUIDO USUARIOS</t>
  </si>
  <si>
    <t>VALOR TRANSFERIDO CLIENTES</t>
  </si>
  <si>
    <t>VALOR MOVILIZADO COMPRA PROVEEDORES</t>
  </si>
  <si>
    <t>VALOR MOVILIZADO INVERSIONES</t>
  </si>
  <si>
    <t xml:space="preserve">SALARIO BRUTO MEDIO </t>
  </si>
  <si>
    <t>Σ sueldos costes salariales</t>
  </si>
  <si>
    <t>Retenido</t>
  </si>
  <si>
    <t>I. Correjido</t>
  </si>
  <si>
    <t>VIII=II-(III+IV)</t>
  </si>
  <si>
    <t>IX=I-(II+V+VII)</t>
  </si>
  <si>
    <t>Error</t>
  </si>
  <si>
    <t>Stakeholder</t>
  </si>
  <si>
    <t>USUARIO / FAMILIA</t>
  </si>
  <si>
    <t>IVC</t>
  </si>
  <si>
    <t>Índice de Valor Compartido</t>
  </si>
  <si>
    <t>Mercado</t>
  </si>
  <si>
    <t>No mercado</t>
  </si>
  <si>
    <t>Emocional</t>
  </si>
  <si>
    <t>1.</t>
  </si>
  <si>
    <t>IBERDROLA DISTRIBUCION ELECTRICA SAU</t>
  </si>
  <si>
    <t>A95075578</t>
  </si>
  <si>
    <t>2.</t>
  </si>
  <si>
    <t>EROSKI, S. COOP.</t>
  </si>
  <si>
    <t>F20033361</t>
  </si>
  <si>
    <t>3.</t>
  </si>
  <si>
    <t>COMPAÑIA DE DISTRIBUCION INTEGRAL LOGISTA SA</t>
  </si>
  <si>
    <t>A28141307</t>
  </si>
  <si>
    <t>LEGANES</t>
  </si>
  <si>
    <t>4.</t>
  </si>
  <si>
    <t>IBERDROLA COMERCIALIZACION DE ULTIMO RECURSO SOCIEDAD ANONIMA</t>
  </si>
  <si>
    <t>A95554630</t>
  </si>
  <si>
    <t>5.</t>
  </si>
  <si>
    <t>MAKRO AUTOSERVICIO MAYORISTA SA</t>
  </si>
  <si>
    <t>A28647451</t>
  </si>
  <si>
    <t>6.</t>
  </si>
  <si>
    <t>IBERDROLA GENERACION SAU</t>
  </si>
  <si>
    <t>A95075586</t>
  </si>
  <si>
    <t>7.</t>
  </si>
  <si>
    <t>COMPAÑIA NORTEÑA DE BEBIDAS GASEOSAS NORBEGA SOCIEDAD LIMITADA</t>
  </si>
  <si>
    <t>B48023030</t>
  </si>
  <si>
    <t>GRUPO EROSKI DISTRIBUCION SA</t>
  </si>
  <si>
    <t>A95313888</t>
  </si>
  <si>
    <t>SIDENOR ACEROS ESPECIALES SOCIEDAD LIMITADA.</t>
  </si>
  <si>
    <t>B01292903</t>
  </si>
  <si>
    <t>ALUDIUM TRANSFORMACION DE PRODUCTOS SOCIEDAD LIMITADA.</t>
  </si>
  <si>
    <t>B83727255</t>
  </si>
  <si>
    <t>VIDRALA, SA</t>
  </si>
  <si>
    <t>A01004324</t>
  </si>
  <si>
    <t>AERNNOVA AEROSPACE SA</t>
  </si>
  <si>
    <t>A01288836</t>
  </si>
  <si>
    <t>TENNECO AUTOMOTIVE IBERICA SOCIEDAD ANONIMA</t>
  </si>
  <si>
    <t>A50005784</t>
  </si>
  <si>
    <t>ORMAZABAL INTERNATIONAL BUSINESS SOCIEDAD LIMITADA</t>
  </si>
  <si>
    <t>B95288338</t>
  </si>
  <si>
    <t>MAIER SCOOP</t>
  </si>
  <si>
    <t>F48067607</t>
  </si>
  <si>
    <t>AJANGIZ</t>
  </si>
  <si>
    <t>FAGOR ARRASATE S.C.</t>
  </si>
  <si>
    <t>F20020574</t>
  </si>
  <si>
    <t>TUBOS REUNIDOS INDUSTRIAL SL</t>
  </si>
  <si>
    <t>B01463694</t>
  </si>
  <si>
    <t>FAES FARMA, SA</t>
  </si>
  <si>
    <t>A48004360</t>
  </si>
  <si>
    <t>GAMESA ELECTRIC SA</t>
  </si>
  <si>
    <t>A95373353</t>
  </si>
  <si>
    <t>SABEKO BANAKETA SOCIEDAD ANONIMA</t>
  </si>
  <si>
    <t>A20672200</t>
  </si>
  <si>
    <t>CIE AUTOMOTIVE, SA</t>
  </si>
  <si>
    <t>A20014452</t>
  </si>
  <si>
    <t>INDAR ELECTRIC SL</t>
  </si>
  <si>
    <t>B20597993</t>
  </si>
  <si>
    <t>AON GIL Y CARVAJAL SOCIEDAD ANONIMA CORREDURIA DE SEGUROS</t>
  </si>
  <si>
    <t>A28109247</t>
  </si>
  <si>
    <t>ARANIA SA</t>
  </si>
  <si>
    <t>A48035158</t>
  </si>
  <si>
    <t>GARBIALDI SOCIEDAD ANONIMA</t>
  </si>
  <si>
    <t>A48408769</t>
  </si>
  <si>
    <t>BATZ S.C.</t>
  </si>
  <si>
    <t>F48037600</t>
  </si>
  <si>
    <t>ELECTROTECNICA ARTECHE HERMANOS, SA (EXTINGUIDA)</t>
  </si>
  <si>
    <t>A48014021</t>
  </si>
  <si>
    <t>BOMBARDIER EUROPEAN HOLDINGS SL</t>
  </si>
  <si>
    <t>B82894049</t>
  </si>
  <si>
    <t>ORMAZABAL Y COMPAÑIA SL</t>
  </si>
  <si>
    <t>B48049811</t>
  </si>
  <si>
    <t>PRICEWATERHOUSECOOPERS SOCIEDAD LIMITADA</t>
  </si>
  <si>
    <t>B48980007</t>
  </si>
  <si>
    <t>GAMESA ENERGY TRANSMISSION SOCIEDAD ANONIMA</t>
  </si>
  <si>
    <t>A95318879</t>
  </si>
  <si>
    <t>GUARDIAN LLODIO UNO SLU</t>
  </si>
  <si>
    <t>B01333574</t>
  </si>
  <si>
    <t>AIALA VIDRIO SA</t>
  </si>
  <si>
    <t>A01394261</t>
  </si>
  <si>
    <t>FUNDACION LANTEGI BATUAK</t>
  </si>
  <si>
    <t>G48945166</t>
  </si>
  <si>
    <t>CEVA LOGISTICS ESPAÑA SL</t>
  </si>
  <si>
    <t>B79271615</t>
  </si>
  <si>
    <t>Z I V METERING SOLUTIONS SOCIEDAD LIMITADA (EXTINGUIDA)</t>
  </si>
  <si>
    <t>B95264776</t>
  </si>
  <si>
    <t>KONICA MINOLTA BUSINESS SOLUTIONS SPAIN SA</t>
  </si>
  <si>
    <t>A81069197</t>
  </si>
  <si>
    <t>AZPIEGITURAK SOCIEDAD ANONIMA MEDIO PROPIO</t>
  </si>
  <si>
    <t>A95616892</t>
  </si>
  <si>
    <t>BETSAIDE, SOCIEDAD ANONIMA LABORAL</t>
  </si>
  <si>
    <t>A48280192</t>
  </si>
  <si>
    <t>INYECTAMETAL SOCIEDAD ANONIMA</t>
  </si>
  <si>
    <t>A20019758</t>
  </si>
  <si>
    <t>EUSKAL KULTURGINTZA SA</t>
  </si>
  <si>
    <t>A20075156</t>
  </si>
  <si>
    <t>EIKA SCOOPL</t>
  </si>
  <si>
    <t>F48067615</t>
  </si>
  <si>
    <t>E ERHARDT Y COMPAÑIA, SA</t>
  </si>
  <si>
    <t>A48003628</t>
  </si>
  <si>
    <t>METRO BILBAO SA</t>
  </si>
  <si>
    <t>A48541957</t>
  </si>
  <si>
    <t>ORMAZABAL COTRADIS TRANSFORMADORES SL</t>
  </si>
  <si>
    <t>B81237109</t>
  </si>
  <si>
    <t>LOECHES</t>
  </si>
  <si>
    <t>GE POWER MANAGEMENT SOCIEDAD LIMITADA</t>
  </si>
  <si>
    <t>B48043079</t>
  </si>
  <si>
    <t>CAF POWER &amp; AUTOMATION SL.</t>
  </si>
  <si>
    <t>B20935805</t>
  </si>
  <si>
    <t>AEROMETALLIC COMPONENTS SA</t>
  </si>
  <si>
    <t>A01460476</t>
  </si>
  <si>
    <t>EGAÑA 2 SOCIEDAD LIMITADA</t>
  </si>
  <si>
    <t>B48443337</t>
  </si>
  <si>
    <t>INGENIERIA Y TECNICAS DE MONTAJES LOINTEK SL</t>
  </si>
  <si>
    <t>B48821631</t>
  </si>
  <si>
    <t>URDULIZ</t>
  </si>
  <si>
    <t>SUEZ TREATMENT SOLUTIONS SOCIEDAD ANONIMA.</t>
  </si>
  <si>
    <t>A48022461</t>
  </si>
  <si>
    <t>AUTOS ORTASA SL</t>
  </si>
  <si>
    <t>B48456099</t>
  </si>
  <si>
    <t>SIEMSA INDUSTRIA SOCIEDAD ANONIMA</t>
  </si>
  <si>
    <t>A28544807</t>
  </si>
  <si>
    <t>AUXILIAR DE SEÑALIZACIONES Y BALIZAMIENTOS SOCIEDAD LIMITADA</t>
  </si>
  <si>
    <t>B48601181</t>
  </si>
  <si>
    <t>ESTAMCAL ESTAMPADOS EN CALIENTE SOCIEDAD ANONIMA</t>
  </si>
  <si>
    <t>A48444848</t>
  </si>
  <si>
    <t>MATZ ERREKA S. C. LMTDA</t>
  </si>
  <si>
    <t>F20025268</t>
  </si>
  <si>
    <t>ANTZUOLA</t>
  </si>
  <si>
    <t>CONSTRUCCIONES ADOLFO SOBRINO SA</t>
  </si>
  <si>
    <t>A20080669</t>
  </si>
  <si>
    <t>BRUSS JUNTAS TECNICAS SL SOCIEDAD EN COMANDITA</t>
  </si>
  <si>
    <t>D48028773</t>
  </si>
  <si>
    <t>FR MEYER'S SOHN GMBH &amp; CO KG FILIAL EN ESPANA.</t>
  </si>
  <si>
    <t>W0041017E</t>
  </si>
  <si>
    <t>GOIZPER S.C.</t>
  </si>
  <si>
    <t>F20025441</t>
  </si>
  <si>
    <t>BILBAINA DE ALQUITRANES SOCIEDAD ANONIMA</t>
  </si>
  <si>
    <t>A48435309</t>
  </si>
  <si>
    <t>MEGATECH INDUSTRIES TECHNICAL CENTER SOCIEDAD LIMITADA.</t>
  </si>
  <si>
    <t>B01507649</t>
  </si>
  <si>
    <t>FIBERTECNIC SA</t>
  </si>
  <si>
    <t>A01034958</t>
  </si>
  <si>
    <t>BIZAK SA</t>
  </si>
  <si>
    <t>A48116388</t>
  </si>
  <si>
    <t>UNILEVER FOODS INDUSTRIAL ESPAÑA SL</t>
  </si>
  <si>
    <t>B95514121</t>
  </si>
  <si>
    <t>AERNNOVA AEROESTRUCTURAS ALAVA, S.A.</t>
  </si>
  <si>
    <t>A01142207</t>
  </si>
  <si>
    <t>BERANTEVILLA</t>
  </si>
  <si>
    <t>ALKAR AUTOMOTIVE SA</t>
  </si>
  <si>
    <t>A48181929</t>
  </si>
  <si>
    <t>AL-KO RECORD SOCIEDAD ANONIMA</t>
  </si>
  <si>
    <t>A48226047</t>
  </si>
  <si>
    <t>THYSSENKRUPP MATERIALS PROCESSING LAMINCER SOCIEDAD ANONIMA.</t>
  </si>
  <si>
    <t>A48206668</t>
  </si>
  <si>
    <t>JAUREGUIZAR PROMOCION Y GESTION INMOBILIARIA SOCIEDAD LIMITADA</t>
  </si>
  <si>
    <t>B48472500</t>
  </si>
  <si>
    <t>ORMAZABAL PROTECTION &amp; AUTOMATION SOCIEDAD LIMITADA</t>
  </si>
  <si>
    <t>B95369773</t>
  </si>
  <si>
    <t>TRANSFORMACIONES METALURGICAS NORMA SA</t>
  </si>
  <si>
    <t>A20013249</t>
  </si>
  <si>
    <t>ROTHENBERGER SOCIEDAD ANONIMA</t>
  </si>
  <si>
    <t>A48114862</t>
  </si>
  <si>
    <t>ONA ELECTROEROSION, SA</t>
  </si>
  <si>
    <t>A48114318</t>
  </si>
  <si>
    <t>MESIMA BILBAO, SA</t>
  </si>
  <si>
    <t>A48020200</t>
  </si>
  <si>
    <t>AERNNOVA ENGINEERING DIVISION SA</t>
  </si>
  <si>
    <t>A01385111</t>
  </si>
  <si>
    <t>AMILIBIA Y DE LA IGLESIA SA</t>
  </si>
  <si>
    <t>A48000525</t>
  </si>
  <si>
    <t>IZAR CUTTING TOOLS, SA L</t>
  </si>
  <si>
    <t>A48932826</t>
  </si>
  <si>
    <t>UGARTEBURU SOCIEDAD ANONIMA</t>
  </si>
  <si>
    <t>A20036083</t>
  </si>
  <si>
    <t>CEGASA PORTABLE ENERGY, S.L.</t>
  </si>
  <si>
    <t>B98667264</t>
  </si>
  <si>
    <t>TRELLEBORG IZARRA SA</t>
  </si>
  <si>
    <t>A01270826</t>
  </si>
  <si>
    <t>URKABUSTAIZ</t>
  </si>
  <si>
    <t>KIDE S COOP</t>
  </si>
  <si>
    <t>F48071377</t>
  </si>
  <si>
    <t>GHI HORNOS INDUSTRIALES SLU</t>
  </si>
  <si>
    <t>B95235826</t>
  </si>
  <si>
    <t>GESTION DE SERVICIOS RESIDENCIALES S.C.</t>
  </si>
  <si>
    <t>F20795837</t>
  </si>
  <si>
    <t>JEMA ENERGY SA</t>
  </si>
  <si>
    <t>A20043352</t>
  </si>
  <si>
    <t>MONDI IBERSAC SOCIEDAD LIMITADA</t>
  </si>
  <si>
    <t>B28732972</t>
  </si>
  <si>
    <t>GÜEÑES</t>
  </si>
  <si>
    <t>INDUSTRIAS GARITA SL</t>
  </si>
  <si>
    <t>B48045942</t>
  </si>
  <si>
    <t>ORMAZABAL DISTRIBUCION PRIMARIA SOCIEDAD LIMITADA</t>
  </si>
  <si>
    <t>B95288320</t>
  </si>
  <si>
    <t>KATEA LEGAIA SLL</t>
  </si>
  <si>
    <t>B20533329</t>
  </si>
  <si>
    <t>ORMAZABAL ELECTRIC SOCIEDAD LIMITADA.</t>
  </si>
  <si>
    <t>B95218731</t>
  </si>
  <si>
    <t>IBERVISION SERVICIOS OPTICOS SLU</t>
  </si>
  <si>
    <t>B95378444</t>
  </si>
  <si>
    <t>EKIN S.C.</t>
  </si>
  <si>
    <t>F48034599</t>
  </si>
  <si>
    <t>TELE APOSTUAK PROMOTORA DE JUEGOS Y APUESTAS SA</t>
  </si>
  <si>
    <t>A20854626</t>
  </si>
  <si>
    <t>AERNNOVA AIRCRAFT SERVICES, S.A.</t>
  </si>
  <si>
    <t>A01332824</t>
  </si>
  <si>
    <t>URGATZI SL</t>
  </si>
  <si>
    <t>B48678718</t>
  </si>
  <si>
    <t>ZUNIBAL SL</t>
  </si>
  <si>
    <t>B48722755</t>
  </si>
  <si>
    <t>AR SISTEMAS SA</t>
  </si>
  <si>
    <t>A48488670</t>
  </si>
  <si>
    <t>SARETEKNIKA SERVICIOS GLOBALES SCOOP</t>
  </si>
  <si>
    <t>F75116236</t>
  </si>
  <si>
    <t>AEG POWER SOLUTIONS IBERICA, S.A.</t>
  </si>
  <si>
    <t>A81539165</t>
  </si>
  <si>
    <t>CIE UDALBIDE SOCIEDAD ANONIMA</t>
  </si>
  <si>
    <t>A48140503</t>
  </si>
  <si>
    <t>CONSONNI SOC COOP (EN LIQUIDACION)</t>
  </si>
  <si>
    <t>F95002150</t>
  </si>
  <si>
    <t>SPARBER TRANSPORT SA</t>
  </si>
  <si>
    <t>A48117188</t>
  </si>
  <si>
    <t>INDUSTRIAS DEL CAFE DEL NORTE SA</t>
  </si>
  <si>
    <t>A01005313</t>
  </si>
  <si>
    <t>ARGHOS TECHNICAL ASSISTANCE SA</t>
  </si>
  <si>
    <t>A85219129</t>
  </si>
  <si>
    <t>HARSCO METALS LYCRETE SOCIEDAD ANONIMA</t>
  </si>
  <si>
    <t>A48065908</t>
  </si>
  <si>
    <t>ALAMOCONSULTING SL.</t>
  </si>
  <si>
    <t>B85099828</t>
  </si>
  <si>
    <t>CLINICA VIRGEN BLANCA SOCIEDAD ANONIMA (EXTINGUIDA)</t>
  </si>
  <si>
    <t>A48042717</t>
  </si>
  <si>
    <t>IKUSI REDES DE TELECOMUNICACIONES SL.</t>
  </si>
  <si>
    <t>B20794657</t>
  </si>
  <si>
    <t>GRUPO ORMAZABAL SOCIEDAD LIMITADA</t>
  </si>
  <si>
    <t>B48265094</t>
  </si>
  <si>
    <t>ADAICO TRUCK &amp; TRAILER SOCIEDAD LIMITADA.</t>
  </si>
  <si>
    <t>B95832374</t>
  </si>
  <si>
    <t>GEPRO SYSTEMS SL</t>
  </si>
  <si>
    <t>B26204842</t>
  </si>
  <si>
    <t>IKUSI SL</t>
  </si>
  <si>
    <t>B20165486</t>
  </si>
  <si>
    <t>APEX MEDICAL SL</t>
  </si>
  <si>
    <t>B95297487</t>
  </si>
  <si>
    <t>PINE EQUIPOS ELECTRICOS SOCIEDAD ANONIMA</t>
  </si>
  <si>
    <t>A95212536</t>
  </si>
  <si>
    <t>CHAVES BILBAO SA</t>
  </si>
  <si>
    <t>A48044473</t>
  </si>
  <si>
    <t>INDUSTRIAS ARRUTI SA</t>
  </si>
  <si>
    <t>A48116412</t>
  </si>
  <si>
    <t>AEROBLADE SOCIEDAD ANONIMA UNIPERSONAL</t>
  </si>
  <si>
    <t>A95467783</t>
  </si>
  <si>
    <t>INYECTADOS GABI SA</t>
  </si>
  <si>
    <t>A48107809</t>
  </si>
  <si>
    <t>FUNDICIONES DE ELORRIO SOCIEDAD LIMITADA</t>
  </si>
  <si>
    <t>B95526232</t>
  </si>
  <si>
    <t>ACLARA METERS SL.</t>
  </si>
  <si>
    <t>B87385761</t>
  </si>
  <si>
    <t>BABESTEN SOCIEDAD LIMITADA</t>
  </si>
  <si>
    <t>B95562500</t>
  </si>
  <si>
    <t>NUEVA HERRAMIENTA DE CORTE, SA</t>
  </si>
  <si>
    <t>A48675870</t>
  </si>
  <si>
    <t>ESPECIAL GEAR TRANSMISSIONS SOCIEDAD ANONIMA (EXTINGUIDA)</t>
  </si>
  <si>
    <t>A48945489</t>
  </si>
  <si>
    <t>ACEROS URQUIJO SOCIEDAD LIMITADA</t>
  </si>
  <si>
    <t>B48454961</t>
  </si>
  <si>
    <t>ULMA CONVEYOR COMPONENTS S.C.</t>
  </si>
  <si>
    <t>F48028872</t>
  </si>
  <si>
    <t>OTXANDIO</t>
  </si>
  <si>
    <t>ZIV APLICACIONES Y TECNOLOGIA SOCIEDAD LIMITADA</t>
  </si>
  <si>
    <t>B84898741</t>
  </si>
  <si>
    <t>TUBOS REUNIDOS, SA</t>
  </si>
  <si>
    <t>A48011555</t>
  </si>
  <si>
    <t>FUNDACION ADSIS</t>
  </si>
  <si>
    <t>G81436099</t>
  </si>
  <si>
    <t>PROYECTOS INSTALACIONES Y MONTAJES ELECTRICOS SA</t>
  </si>
  <si>
    <t>A01020171</t>
  </si>
  <si>
    <t>ARDESA SOCIEDAD ANONIMA</t>
  </si>
  <si>
    <t>A48119622</t>
  </si>
  <si>
    <t>WALLAIR ENGINE COMPONENTS SOCIEDAD LIMITADA</t>
  </si>
  <si>
    <t>B95381596</t>
  </si>
  <si>
    <t>REM-IRU SL</t>
  </si>
  <si>
    <t>B01304286</t>
  </si>
  <si>
    <t>TRANSMISIONES LA MAGDALENA SOCIEDAD LIMITADA</t>
  </si>
  <si>
    <t>B48045140</t>
  </si>
  <si>
    <t>TENNECO INNOVACION SOCIEDAD LIMITADA</t>
  </si>
  <si>
    <t>B95594479</t>
  </si>
  <si>
    <t>BURULAN SA</t>
  </si>
  <si>
    <t>A01045590</t>
  </si>
  <si>
    <t>PAPELERA DEL NERVION SA</t>
  </si>
  <si>
    <t>A48095756</t>
  </si>
  <si>
    <t>PROGECO BILBAO, SA</t>
  </si>
  <si>
    <t>A48172258</t>
  </si>
  <si>
    <t>IGURIA SA</t>
  </si>
  <si>
    <t>A48251045</t>
  </si>
  <si>
    <t>EUROHELP CONSULTING SL</t>
  </si>
  <si>
    <t>B38472197</t>
  </si>
  <si>
    <t>ALCONZA BERANGO SOCIEDAD LIMITADA</t>
  </si>
  <si>
    <t>B48775472</t>
  </si>
  <si>
    <t>MEDOP SA</t>
  </si>
  <si>
    <t>A48101711</t>
  </si>
  <si>
    <t>INFORMATICA 68 SA</t>
  </si>
  <si>
    <t>A20097606</t>
  </si>
  <si>
    <t>ARRUTI SUBESTACIONES SA</t>
  </si>
  <si>
    <t>A48692362</t>
  </si>
  <si>
    <t>MUXIKA</t>
  </si>
  <si>
    <t>COMPAÑIA ESPAÑOLA DE RECUPERACIONES FERRICAS SA</t>
  </si>
  <si>
    <t>A48066435</t>
  </si>
  <si>
    <t>NUTEC PROCAL SOCIEDAD LIMITADA</t>
  </si>
  <si>
    <t>B95527750</t>
  </si>
  <si>
    <t>AERNNOVA ENGINEERING SOLUTIONS SA</t>
  </si>
  <si>
    <t>A01142199</t>
  </si>
  <si>
    <t>MAQUINARIA HOSTELERIA INDUSTRIAL SOCIEDAD LIMITADA</t>
  </si>
  <si>
    <t>B48418065</t>
  </si>
  <si>
    <t>RESIDENCIAS NOSTEM SOCIEDAD LIMITADA</t>
  </si>
  <si>
    <t>B95389854</t>
  </si>
  <si>
    <t>VELATIA SOCIEDAD LIMITADA</t>
  </si>
  <si>
    <t>B95594172</t>
  </si>
  <si>
    <t>KAUXOT SOCIEDAD LIMITADA</t>
  </si>
  <si>
    <t>B95215851</t>
  </si>
  <si>
    <t>LA TRASTIENDA DIGITAL SL</t>
  </si>
  <si>
    <t>B82643537</t>
  </si>
  <si>
    <t>GUREAK BERDEA SL.</t>
  </si>
  <si>
    <t>B20502613</t>
  </si>
  <si>
    <t>MIDDLEBY ESPAÑA SL</t>
  </si>
  <si>
    <t>B48510234</t>
  </si>
  <si>
    <t>TALLERES AMENABAR SA</t>
  </si>
  <si>
    <t>A01015353</t>
  </si>
  <si>
    <t>ARAMAIO</t>
  </si>
  <si>
    <t>BEURKO RESIDENCIAL VITALITAS SOCIEDAD LIMITADA</t>
  </si>
  <si>
    <t>B95409330</t>
  </si>
  <si>
    <t>SIDELAN SL</t>
  </si>
  <si>
    <t>B01388032</t>
  </si>
  <si>
    <t>EMBALAJES PLASTICOS DE SOPELANA SL</t>
  </si>
  <si>
    <t>B63397509</t>
  </si>
  <si>
    <t>SOPELANA</t>
  </si>
  <si>
    <t>IBERSHIP SA</t>
  </si>
  <si>
    <t>A48117097</t>
  </si>
  <si>
    <t>ORMAZABAL CORPORATE TECHNOLOGY AGRUPACION DE INTERES ECONOMICO</t>
  </si>
  <si>
    <t>V95288577</t>
  </si>
  <si>
    <t>EPB, LDA</t>
  </si>
  <si>
    <t>513255036</t>
  </si>
  <si>
    <t>Fafe</t>
  </si>
  <si>
    <t>KOOPERA SERVICIOS SOCIALES Y FORMACION S.</t>
  </si>
  <si>
    <t>F95808622</t>
  </si>
  <si>
    <t>ELYTT ENERGY SL</t>
  </si>
  <si>
    <t>B95235495</t>
  </si>
  <si>
    <t>INOXIBAR SL</t>
  </si>
  <si>
    <t>B48067573</t>
  </si>
  <si>
    <t>FUNDICION PADURETA SOCIEDAD LIMITADA LABORAL.</t>
  </si>
  <si>
    <t>B95876975</t>
  </si>
  <si>
    <t>SIDENOR INVESTIGACION Y DESARROLLO SOCIEDAD ANONIMA.</t>
  </si>
  <si>
    <t>A48298780</t>
  </si>
  <si>
    <t>CONSTRUCCIONES Y REPARACIONES MONTEGUI SL</t>
  </si>
  <si>
    <t>B48651616</t>
  </si>
  <si>
    <t>C V S S RADIOLOGIA CLINICA SA</t>
  </si>
  <si>
    <t>A48270565</t>
  </si>
  <si>
    <t>ELESA TRANSFORMADORES SA</t>
  </si>
  <si>
    <t>A20174678</t>
  </si>
  <si>
    <t>BEREIKER S.L.</t>
  </si>
  <si>
    <t>B01274141</t>
  </si>
  <si>
    <t>HIMEC AERO SL</t>
  </si>
  <si>
    <t>B95433447</t>
  </si>
  <si>
    <t>MORISPAIN SA</t>
  </si>
  <si>
    <t>A01104124</t>
  </si>
  <si>
    <t>ATRESSA AUTOMOTIVE FACTORY SOCIEDAD ANONIMA.</t>
  </si>
  <si>
    <t>A48021414</t>
  </si>
  <si>
    <t>FORUA</t>
  </si>
  <si>
    <t>ESTAMPACIONES DURANGO SOCIEDAD ANONIMA.</t>
  </si>
  <si>
    <t>A48940159</t>
  </si>
  <si>
    <t>ADIM LIFT SA (EN LIQUIDACION)</t>
  </si>
  <si>
    <t>A01317205</t>
  </si>
  <si>
    <t>LISER 2006 SL</t>
  </si>
  <si>
    <t>B95423497</t>
  </si>
  <si>
    <t>OMEGA ELEVATOR SA</t>
  </si>
  <si>
    <t>A01053131</t>
  </si>
  <si>
    <t>GESTION DE MATERIALES Y PROYECTOS SA</t>
  </si>
  <si>
    <t>A01247261</t>
  </si>
  <si>
    <t>ALAIKI ZERBITZU GIZAKULTURALAK SOCIEDAD LIMITADA</t>
  </si>
  <si>
    <t>B48910525</t>
  </si>
  <si>
    <t>INDUSTRIAS GALARZA SA</t>
  </si>
  <si>
    <t>A48055891</t>
  </si>
  <si>
    <t>CONSULTORES DE AUTOMATIZACION Y ROBOTICA SOCIEDAD ANONIMA</t>
  </si>
  <si>
    <t>A48228399</t>
  </si>
  <si>
    <t>VITALITAS CENTROS RESIDENCIALES SOCIEDAD LIMITADA</t>
  </si>
  <si>
    <t>B95320297</t>
  </si>
  <si>
    <t>CIRET IBERIA SOCIEDAD LIMITADA.</t>
  </si>
  <si>
    <t>B95706438</t>
  </si>
  <si>
    <t>VITALITAS SARRIKO SOCIEDAD LIMITADA.</t>
  </si>
  <si>
    <t>B95705950</t>
  </si>
  <si>
    <t>TRAUMATOLOGIA DAM S.L.</t>
  </si>
  <si>
    <t>B95003604</t>
  </si>
  <si>
    <t>B LUX, SA</t>
  </si>
  <si>
    <t>A48414338</t>
  </si>
  <si>
    <t>ARRUTI CATENARIA SA</t>
  </si>
  <si>
    <t>A95515136</t>
  </si>
  <si>
    <t>LUMAGORRI SL</t>
  </si>
  <si>
    <t>B20471736</t>
  </si>
  <si>
    <t>ZERAIN</t>
  </si>
  <si>
    <t>KIRIKIÑO S.C.</t>
  </si>
  <si>
    <t>F48086417</t>
  </si>
  <si>
    <t>AUTODISTRIBUTION CARPRISS SL</t>
  </si>
  <si>
    <t>B95374922</t>
  </si>
  <si>
    <t>GUREAK ELEKTRONIKA SL (EXTINGUIDA)</t>
  </si>
  <si>
    <t>B20672234</t>
  </si>
  <si>
    <t>LOTTU STEEL SOCIEDAD LIMITADA.</t>
  </si>
  <si>
    <t>B95796686</t>
  </si>
  <si>
    <t>BEL TERMINALS SOCIEDAD ANONIMA.</t>
  </si>
  <si>
    <t>A95764395</t>
  </si>
  <si>
    <t>URBEGI INGENIERIA DE PROCESOS Y MANUFACTURAS SL</t>
  </si>
  <si>
    <t>B95411419</t>
  </si>
  <si>
    <t>BALMASEDA</t>
  </si>
  <si>
    <t>ENGINEERING DEVELOPMENTS FOR AUTOMOTIVE INDUSTRY SL</t>
  </si>
  <si>
    <t>B95583100</t>
  </si>
  <si>
    <t>HYGOLET IBERIA SL</t>
  </si>
  <si>
    <t>B48450282</t>
  </si>
  <si>
    <t>MORTEROS BIZKOR SOCIEDAD LIMITADA</t>
  </si>
  <si>
    <t>B95100293</t>
  </si>
  <si>
    <t>CIKATEK S.C.</t>
  </si>
  <si>
    <t>F95695870</t>
  </si>
  <si>
    <t>ENKOA SYSTEM SL</t>
  </si>
  <si>
    <t>B20647632</t>
  </si>
  <si>
    <t>ARA TRANSFERENCIAS TERMICAS SOCIEDAD LIMITADA</t>
  </si>
  <si>
    <t>B95615407</t>
  </si>
  <si>
    <t>ARBELEC CUADROS INSTALACIONES ELECTRICAS E INGENIERIA SOCIEDAD LIMITADA.</t>
  </si>
  <si>
    <t>B95698858</t>
  </si>
  <si>
    <t>GRIP ON TOOLS SA (EN LIQUIDACION)</t>
  </si>
  <si>
    <t>A20103214</t>
  </si>
  <si>
    <t>SERVICIOS HOSTELEROS MIKELDI SOCIEDAD LIMITADA.</t>
  </si>
  <si>
    <t>B95086567</t>
  </si>
  <si>
    <t>AUMA MOTOR 2010 SL</t>
  </si>
  <si>
    <t>B95604609</t>
  </si>
  <si>
    <t>ORMAURRE SOCIEDAD LIMITADA</t>
  </si>
  <si>
    <t>B95158515</t>
  </si>
  <si>
    <t>DIMA</t>
  </si>
  <si>
    <t>ZINETI SOCIEDAD ANONIMA</t>
  </si>
  <si>
    <t>A95611018</t>
  </si>
  <si>
    <t>IRUA TECH INDUSTRIES SL</t>
  </si>
  <si>
    <t>B95327490</t>
  </si>
  <si>
    <t>AUXEMA STEMMANN ESPANOLA SL</t>
  </si>
  <si>
    <t>B48053250</t>
  </si>
  <si>
    <t>PIERBURG SYSTEMS SOCIEDAD LIMITADA</t>
  </si>
  <si>
    <t>B95595013</t>
  </si>
  <si>
    <t>MERYTRONIC 2012 SOCIEDAD LIMITADA.</t>
  </si>
  <si>
    <t>B95704078</t>
  </si>
  <si>
    <t>SOPRES SOCIEDAD DE PROCESOS RECUPERATIVOS SL</t>
  </si>
  <si>
    <t>B48789960</t>
  </si>
  <si>
    <t>ACE4C AGRUPACION DE INTERES ECONOMICO</t>
  </si>
  <si>
    <t>V95628871</t>
  </si>
  <si>
    <t>FACTOR SISTEMAS SL</t>
  </si>
  <si>
    <t>B48474050</t>
  </si>
  <si>
    <t>CENTRO MEDICO ZURRIOLA SL.</t>
  </si>
  <si>
    <t>B75068387</t>
  </si>
  <si>
    <t>NERVION SISTEMAS SL</t>
  </si>
  <si>
    <t>B95276598</t>
  </si>
  <si>
    <t>COMERCIAL DE APLICACIONES ELECTRONICAS SL</t>
  </si>
  <si>
    <t>B20310157</t>
  </si>
  <si>
    <t>ULMA EMBEDDED SOLUTIONS S.C.</t>
  </si>
  <si>
    <t>F75010462</t>
  </si>
  <si>
    <t>LA SALVE COMERCIALIZADORA SOCIEDAD LIMITADA.</t>
  </si>
  <si>
    <t>B95799540</t>
  </si>
  <si>
    <t>LABEL FACTORY SOCIEDAD LIMITADA.</t>
  </si>
  <si>
    <t>B95752481</t>
  </si>
  <si>
    <t>BEAZ SAU</t>
  </si>
  <si>
    <t>A48229058</t>
  </si>
  <si>
    <t>CENKER ROBOTICS SOCIEDAD LIMITADA.</t>
  </si>
  <si>
    <t>B95319547</t>
  </si>
  <si>
    <t>EGOITZ ALAI SOCIEDAD LIMITADA.</t>
  </si>
  <si>
    <t>B95568184</t>
  </si>
  <si>
    <t>METALES OSMA SL</t>
  </si>
  <si>
    <t>B48781413</t>
  </si>
  <si>
    <t>ALTON SIGLO XXI SOCIEDAD LIMITADA.</t>
  </si>
  <si>
    <t>B95789590</t>
  </si>
  <si>
    <t>INDUSTRIAS BIPLAXT SA</t>
  </si>
  <si>
    <t>A48117295</t>
  </si>
  <si>
    <t>DISEÑO DE BAÑO DISBAINU SOCIEDAD ANONIMA LABORAL</t>
  </si>
  <si>
    <t>A48484026</t>
  </si>
  <si>
    <t>BUSTURIA</t>
  </si>
  <si>
    <t>N.I.S. NORTH INCOMING SERVICE SOCIEDAD LIMITADA.</t>
  </si>
  <si>
    <t>B48511034</t>
  </si>
  <si>
    <t>ELSON ELECTRONICA SA</t>
  </si>
  <si>
    <t>A48134720</t>
  </si>
  <si>
    <t>SITTA SILLERIA DE OFICINA SOCIEDAD LIMITADA LABORAL.</t>
  </si>
  <si>
    <t>B95690665</t>
  </si>
  <si>
    <t>BRANCAS ESCARTIN SL</t>
  </si>
  <si>
    <t>B48831846</t>
  </si>
  <si>
    <t>CLINICA ESTOMATOLOGICA-QUIRURGICA ABRA 4 SL PROFESIONAL</t>
  </si>
  <si>
    <t>B95442927</t>
  </si>
  <si>
    <t>HIERROS Y METALES ALONSOTEGUI SL</t>
  </si>
  <si>
    <t>B95126827</t>
  </si>
  <si>
    <t>TRANSCENDENCIAS COMERCIALES SL</t>
  </si>
  <si>
    <t>B48833404</t>
  </si>
  <si>
    <t>RECUPERACIONES NERVION SL</t>
  </si>
  <si>
    <t>B95601423</t>
  </si>
  <si>
    <t>R.M.J. MOBILE SL.</t>
  </si>
  <si>
    <t>B86996923</t>
  </si>
  <si>
    <t>DEKKER EVENTS SL</t>
  </si>
  <si>
    <t>B95421624</t>
  </si>
  <si>
    <t>ELECTRICIDAD TELGA SL</t>
  </si>
  <si>
    <t>B48512958</t>
  </si>
  <si>
    <t>GABINETE RENOVABLES GESTION SOCIEDAD LIMITADA</t>
  </si>
  <si>
    <t>B95537536</t>
  </si>
  <si>
    <t>ALBIA CAPITAL PARTNERS SL</t>
  </si>
  <si>
    <t>B95307351</t>
  </si>
  <si>
    <t>INNOCUT SL.</t>
  </si>
  <si>
    <t>B75092486</t>
  </si>
  <si>
    <t>LA BOUTIQUE DEL PELUQUERO SA</t>
  </si>
  <si>
    <t>A48207427</t>
  </si>
  <si>
    <t>BPG-COORDINADORES DE SEGURIDAD SL</t>
  </si>
  <si>
    <t>B20674917</t>
  </si>
  <si>
    <t>AUTOSERVICIO BILBAO SA</t>
  </si>
  <si>
    <t>A48027510</t>
  </si>
  <si>
    <t>TEKNIA R&amp;D SL.</t>
  </si>
  <si>
    <t>B85841351</t>
  </si>
  <si>
    <t>CONSMECAR NORTE SL.</t>
  </si>
  <si>
    <t>B98748296</t>
  </si>
  <si>
    <t>TALLERES MUFER SL</t>
  </si>
  <si>
    <t>B48168819</t>
  </si>
  <si>
    <t>HOMM EXPERIENCES SOCIEDAD LIMITADA.</t>
  </si>
  <si>
    <t>B95772836</t>
  </si>
  <si>
    <t>OZEANO URDINA SOCIEDAD LIMITADA.</t>
  </si>
  <si>
    <t>B95653903</t>
  </si>
  <si>
    <t>PALETS BAKIOLA SOCIEDAD LIMITADA.</t>
  </si>
  <si>
    <t>B95713707</t>
  </si>
  <si>
    <t>DARDARAK S.L.</t>
  </si>
  <si>
    <t>B20604567</t>
  </si>
  <si>
    <t>KANALVET SOCIEDAD LIMITADA</t>
  </si>
  <si>
    <t>B95621884</t>
  </si>
  <si>
    <t>DINITEL 2000 SA (EN LIQUIDACION)</t>
  </si>
  <si>
    <t>A20468419</t>
  </si>
  <si>
    <t>BISCAY CONSULTING SOCIEDAD LIMITADA</t>
  </si>
  <si>
    <t>B95404042</t>
  </si>
  <si>
    <t>PROMOCION ECONOMICA DE ERMUA SA</t>
  </si>
  <si>
    <t>A95131447</t>
  </si>
  <si>
    <t>ZABIK SA</t>
  </si>
  <si>
    <t>A48217889</t>
  </si>
  <si>
    <t>BLUM-NOVOTEST IBERICA SOCIEDAD LIMITADA.</t>
  </si>
  <si>
    <t>B95866638</t>
  </si>
  <si>
    <t>ITURRIAGA SUKALDEAK SOCIEDAD LIMITADA.</t>
  </si>
  <si>
    <t>B95809901</t>
  </si>
  <si>
    <t>BIZGORRE SL</t>
  </si>
  <si>
    <t>B48411789</t>
  </si>
  <si>
    <t>BAIKOR 2-K SOCIEDAD ANONIMA</t>
  </si>
  <si>
    <t>A48237176</t>
  </si>
  <si>
    <t>PARADOX OFICINA GENERAL DE INVENTOS SL</t>
  </si>
  <si>
    <t>B95187837</t>
  </si>
  <si>
    <t>RETRENSA REDES TRENZADAS AISLANTES SOCIEDAD ANONIMA</t>
  </si>
  <si>
    <t>A48520431</t>
  </si>
  <si>
    <t>INYECTADOS METALICOS Y PLASTICOS INMEPLAS SOCIEDAD ANONIMA</t>
  </si>
  <si>
    <t>A48720114</t>
  </si>
  <si>
    <t>ENRIQUE PLATERO SL</t>
  </si>
  <si>
    <t>B20484978</t>
  </si>
  <si>
    <t>CENTRO MEDICO VILLA LUISA SOCIEDAD LIMITADA.</t>
  </si>
  <si>
    <t>B95246039</t>
  </si>
  <si>
    <t>ECOCAP ESPRESSOBAR SL</t>
  </si>
  <si>
    <t>B01509264</t>
  </si>
  <si>
    <t>ENERGY REVIVAL SL.</t>
  </si>
  <si>
    <t>B75091892</t>
  </si>
  <si>
    <t>JOSE MANUEL LEUNDA SL</t>
  </si>
  <si>
    <t>B20925921</t>
  </si>
  <si>
    <t>ZALDIBIA</t>
  </si>
  <si>
    <t>ESTAMPACIONES VIZCAYA SOCIEDAD LIMITADA.</t>
  </si>
  <si>
    <t>B95761391</t>
  </si>
  <si>
    <t>DEUSTO INSTALACIONES ELECTRICAS SOCIEDAD LIMITADA.</t>
  </si>
  <si>
    <t>B95809430</t>
  </si>
  <si>
    <t>OSINAGA SL</t>
  </si>
  <si>
    <t>B20850426</t>
  </si>
  <si>
    <t>CYMPULSE SL</t>
  </si>
  <si>
    <t>B01445980</t>
  </si>
  <si>
    <t>ARKALE TECNICO COMERCIAL SL</t>
  </si>
  <si>
    <t>B48934368</t>
  </si>
  <si>
    <t>INMONEINVER SOCIEDAD LIMITADA.</t>
  </si>
  <si>
    <t>B95828455</t>
  </si>
  <si>
    <t>IP ELECTRIC GASTEIZ SL</t>
  </si>
  <si>
    <t>B01430966</t>
  </si>
  <si>
    <t>ARCTIC SEA SOCIEDAD LIMITADA.</t>
  </si>
  <si>
    <t>B95776795</t>
  </si>
  <si>
    <t>COMMON TECHNOLOGY INNOVATION AIE</t>
  </si>
  <si>
    <t>V95620563</t>
  </si>
  <si>
    <t>ASOC CLUSTER DEL SECTOR AUDIOVISUAL DE E</t>
  </si>
  <si>
    <t>G95339750</t>
  </si>
  <si>
    <t>MONTAJES INTEGRALES LANKOR SL</t>
  </si>
  <si>
    <t>B20389201</t>
  </si>
  <si>
    <t>EUROPEAN ECOLOGICAL CONSULTING EECO SOCIEDAD LIMITADA.</t>
  </si>
  <si>
    <t>B48827075</t>
  </si>
  <si>
    <t>CYD PARTS SERVICIOS DE DISTRIBUCION SOCIEDAD LIMITADA.</t>
  </si>
  <si>
    <t>B95861035</t>
  </si>
  <si>
    <t>MAMSAF COMERCIAL DE HOSTELERIA SOCIEDAD LIMITADA</t>
  </si>
  <si>
    <t>B48892897</t>
  </si>
  <si>
    <t>INTELLIGENT DELIVERY SOCIEDAD ANONIMA.</t>
  </si>
  <si>
    <t>A95767844</t>
  </si>
  <si>
    <t>DOCUMAT DOCUMENTOS INTEGRALES SL</t>
  </si>
  <si>
    <t>B95422200</t>
  </si>
  <si>
    <t>AUTOBUSA MIKROBUSA UGARTE SL.</t>
  </si>
  <si>
    <t>B61675880</t>
  </si>
  <si>
    <t>BODEGA CRUSOE TREASURE SOCIEDAD LIMITADA.</t>
  </si>
  <si>
    <t>B01370600</t>
  </si>
  <si>
    <t>PACAY MEDIA SL</t>
  </si>
  <si>
    <t>B95517025</t>
  </si>
  <si>
    <t>EURASLOG SOCIEDAD LIMITADA.</t>
  </si>
  <si>
    <t>B95443792</t>
  </si>
  <si>
    <t>SINPEL SCOOPL</t>
  </si>
  <si>
    <t>F95211611</t>
  </si>
  <si>
    <t>RESIDENCIAL GERIATRICA ASTARLOA BERRI SOCIEDAD LIMITADA.</t>
  </si>
  <si>
    <t>B48958185</t>
  </si>
  <si>
    <t>NINAUT ENGINEERING SOCIEDAD LIMITADA.</t>
  </si>
  <si>
    <t>B95874228</t>
  </si>
  <si>
    <t>TRADE ECHEVARRI SOCIEDAD LIMITADA</t>
  </si>
  <si>
    <t>B48500367</t>
  </si>
  <si>
    <t>IKEISA XXI SOCIEDAD LIMITADA</t>
  </si>
  <si>
    <t>B95569182</t>
  </si>
  <si>
    <t>PLASTIPACK ENVASES ALIMENTARIOS SOCIEDAD LIMITADA.</t>
  </si>
  <si>
    <t>B39791439</t>
  </si>
  <si>
    <t>MINIROBOTS SL</t>
  </si>
  <si>
    <t>B95467981</t>
  </si>
  <si>
    <t>IBIL-TOKIA SOCIEDAD LIMITADA</t>
  </si>
  <si>
    <t>B95160511</t>
  </si>
  <si>
    <t>AGUIZA NORTE SOCIEDAD LIMITADA.</t>
  </si>
  <si>
    <t>B95730545</t>
  </si>
  <si>
    <t>ASESORES ASOCIADOS UGERRI SLL</t>
  </si>
  <si>
    <t>B95258562</t>
  </si>
  <si>
    <t>JAVIER FRANCIA SL</t>
  </si>
  <si>
    <t>B48509749</t>
  </si>
  <si>
    <t>LA MACHINE FACTORIA GRAFICA SL</t>
  </si>
  <si>
    <t>B95378527</t>
  </si>
  <si>
    <t>REPONOR SA</t>
  </si>
  <si>
    <t>A48228035</t>
  </si>
  <si>
    <t>IDEARTIA LA TRASTIENDA CREATIVA SOCIEDAD LIMITADA.</t>
  </si>
  <si>
    <t>B95790689</t>
  </si>
  <si>
    <t>LOOP SL</t>
  </si>
  <si>
    <t>B48194690</t>
  </si>
  <si>
    <t>AQUILA BOARDS SOCIEDAD LIMITADA.</t>
  </si>
  <si>
    <t>B95776811</t>
  </si>
  <si>
    <t>SAFEXPERIENCE SOCIEDAD LIMITADA</t>
  </si>
  <si>
    <t>B95631750</t>
  </si>
  <si>
    <t>HALLEY METALS IBERICA SOCIEDAD ANONIMA</t>
  </si>
  <si>
    <t>A48202352</t>
  </si>
  <si>
    <t>BETIVENDING SOCIEDAD LIMITADA.</t>
  </si>
  <si>
    <t>B95813390</t>
  </si>
  <si>
    <t>SEIGAR BOST SL.</t>
  </si>
  <si>
    <t>B75046177</t>
  </si>
  <si>
    <t>AZKONDO SL</t>
  </si>
  <si>
    <t>B48709430</t>
  </si>
  <si>
    <t>METAL COMPONENTS GROUP AUTO SOCIEDAD LIMITADA.</t>
  </si>
  <si>
    <t>B95305124</t>
  </si>
  <si>
    <t>PORTUGAL</t>
  </si>
  <si>
    <t>DIFERENCIAL</t>
  </si>
  <si>
    <t>Informe reunión anual</t>
  </si>
  <si>
    <t xml:space="preserve">Valor </t>
  </si>
  <si>
    <t>31.12.17</t>
  </si>
  <si>
    <t>31.12.18</t>
  </si>
  <si>
    <t>Horas clientes locales</t>
  </si>
  <si>
    <t>Gasto salarial medio CAPV</t>
  </si>
  <si>
    <t>Horas convenio CAPV</t>
  </si>
  <si>
    <t>RETENCIÓN IRPF</t>
  </si>
  <si>
    <t xml:space="preserve">SUBVENCIONES OBJETIVOS SOCIALES ESPECÍFICOS </t>
  </si>
  <si>
    <t>DONACIONES Y AYUDAS PRIVADAS</t>
  </si>
  <si>
    <t>OTROSI NGRESOS</t>
  </si>
  <si>
    <t>Venta Clientes</t>
  </si>
  <si>
    <t>SEGURIDAD SOCIAL TOTAL</t>
  </si>
  <si>
    <t>Compra proveedores</t>
  </si>
  <si>
    <t>Para la estimación de las cargas sociales de trabajadores en pestaña EVA_Aplicación del VAB</t>
  </si>
  <si>
    <t>Incluye cuenta 642+643+649</t>
  </si>
  <si>
    <t>649:provisiones seguros de vida/accidentes+atrasos+protección+formación+vestuario</t>
  </si>
  <si>
    <t>Diferencia precio comida usuario SO</t>
  </si>
  <si>
    <t>Reconocimentos médicos. Coste</t>
  </si>
  <si>
    <t>Reconocimentos médicos. Coste (Total %PsD)</t>
  </si>
  <si>
    <t>Formación impartida por profesionales de Desarrollo sociolaboral a otras instituciones. 3 casos: 
 - Uni Deusto - 14horas x 25 personas;  
 - REd Salud Mental - 5 horas x 20 personas. 
 - Congreso Zahartzaroa - 15min x 70 personas
 - Orue Eskola - 2,5horas x 20 personas
 - AEDIS - 30 min x 100 personas</t>
  </si>
  <si>
    <t>VALOR GENERADO A CLIENTES</t>
  </si>
  <si>
    <t>VALOR SOCIAL DE MERCADO DE HABER [VES-H]</t>
  </si>
  <si>
    <t>VALOR SOCIAL DE NO MERCADO    [VSNM]</t>
  </si>
  <si>
    <t>VALOR SOCIAL DE MERCADO DE DEBE [VES-D]</t>
  </si>
  <si>
    <t>VALOR SOCIAL ESPECÍFICO DEBE (Mercado + No Mercado)    [VSE]</t>
  </si>
  <si>
    <t>CLIENTES (n)</t>
  </si>
  <si>
    <t>RETENIDO EMPRESAS</t>
  </si>
  <si>
    <t xml:space="preserve">Índice Valor Social Añadido </t>
  </si>
  <si>
    <t>% Valor Social Añadido sobre Presupuesto Gestionado</t>
  </si>
  <si>
    <t>EXTERNALIDADES +</t>
  </si>
  <si>
    <t xml:space="preserve">  AAPP</t>
  </si>
  <si>
    <t>nº plazas / año</t>
  </si>
  <si>
    <t>USUARIOS / FAMILIAS / AAPP</t>
  </si>
  <si>
    <t>Plaza</t>
  </si>
  <si>
    <t xml:space="preserve">  </t>
  </si>
  <si>
    <t>Total</t>
  </si>
  <si>
    <t>Hombres</t>
  </si>
  <si>
    <t>Mujeres</t>
  </si>
  <si>
    <t>Personas a 31/12/2017</t>
  </si>
  <si>
    <t>10T</t>
  </si>
  <si>
    <t>M</t>
  </si>
  <si>
    <t>H</t>
  </si>
  <si>
    <t>Industrial</t>
  </si>
  <si>
    <t>Servicios</t>
  </si>
  <si>
    <t>Servicios Centrales</t>
  </si>
  <si>
    <t>Total LB</t>
  </si>
  <si>
    <t>Per sin Discap</t>
  </si>
  <si>
    <t>Per con Discap</t>
  </si>
  <si>
    <t>Per con Discap psiquica</t>
  </si>
  <si>
    <t>Per con Discap fisica y sensorial</t>
  </si>
  <si>
    <t>Pers usuar Serv ocupacional</t>
  </si>
  <si>
    <t>MUJERES</t>
  </si>
  <si>
    <t>HOMBRES</t>
  </si>
  <si>
    <t>TOTAL</t>
  </si>
  <si>
    <t>GWEI (M)</t>
  </si>
  <si>
    <t>DISTRIBUCIÓN ECONÓMICA</t>
  </si>
  <si>
    <t>Nº personas trabajadoras</t>
  </si>
  <si>
    <t>GWEI  [1 = Indice de equilibrio]</t>
  </si>
  <si>
    <t>Valor Compartido [IVC] sobre Resultados [Ref. 1]</t>
  </si>
  <si>
    <t>&gt;1</t>
  </si>
  <si>
    <r>
      <rPr>
        <b/>
        <i/>
        <sz val="11"/>
        <color theme="0"/>
        <rFont val="Calibri"/>
        <family val="2"/>
      </rPr>
      <t>.</t>
    </r>
    <r>
      <rPr>
        <b/>
        <i/>
        <sz val="11"/>
        <color rgb="FF000000"/>
        <rFont val="Calibri"/>
        <family val="2"/>
      </rPr>
      <t>=1</t>
    </r>
  </si>
  <si>
    <t>&gt; 1</t>
  </si>
  <si>
    <t>&gt; 0</t>
  </si>
  <si>
    <t>VALOR AGREGADO</t>
  </si>
  <si>
    <t>VALOR DISTRIBUIDO A MUJERES</t>
  </si>
  <si>
    <t>Indice de Distribución de Género</t>
  </si>
  <si>
    <t>Distribución - Mujeres
Últ. año disp.</t>
  </si>
  <si>
    <t>Distribución - Hombres
Últ. año disp.</t>
  </si>
  <si>
    <t>Ratio Distribución mujeres</t>
  </si>
  <si>
    <t>Gasto Personas</t>
  </si>
  <si>
    <t>Gasto Mujeres</t>
  </si>
  <si>
    <t>Mujeres/Hombres</t>
  </si>
  <si>
    <t>Mujeres/Total</t>
  </si>
  <si>
    <t xml:space="preserve">Resultado </t>
  </si>
  <si>
    <t>Repercutido Mujeres</t>
  </si>
  <si>
    <r>
      <t xml:space="preserve">Transferncia de </t>
    </r>
    <r>
      <rPr>
        <b/>
        <sz val="11"/>
        <color theme="1"/>
        <rFont val="Calibri"/>
        <family val="2"/>
      </rPr>
      <t>Valor Añadido</t>
    </r>
  </si>
  <si>
    <t>DISTRIBUIDO MUJERES</t>
  </si>
  <si>
    <t>Índice de distribución de Género</t>
  </si>
  <si>
    <t>VALOR SOCIAL DE MERCADO DE DEBE [VES-D]: CLIENTES</t>
  </si>
  <si>
    <t xml:space="preserve">VALOR SOCIAL DE MERCADO </t>
  </si>
  <si>
    <t>HOMBRE</t>
  </si>
  <si>
    <t>VALOR DISTRIBUIDO MUJERES</t>
  </si>
  <si>
    <t>RATIO DISTRIBUCIÓN</t>
  </si>
  <si>
    <t>MUJER</t>
  </si>
  <si>
    <t>http://www.jubiladosugt.org/el-89-de-los-cuidadores-de-personas-dependientes-en-espana-son-mujeres/</t>
  </si>
  <si>
    <t>FUENTE DOCUMENTAL / DATOS GENERO</t>
  </si>
  <si>
    <t>?</t>
  </si>
  <si>
    <t>A=I+II+III+IV</t>
  </si>
  <si>
    <t>DISTRIBUCIÓN MUJERES</t>
  </si>
  <si>
    <t>Envejecimiento activo</t>
  </si>
  <si>
    <t>Porcentaje del Valor Emocional atribuido a las mujeres</t>
  </si>
  <si>
    <t>VALOR SOCIAL ESPECÍFICO DEBE (M + Nm)    [VSE]</t>
  </si>
  <si>
    <t>RATIOS ANALÍTICOS DE DISTRIBUCIÓN DE GÉNERO</t>
  </si>
  <si>
    <t>Ref.</t>
  </si>
  <si>
    <t>GWEI</t>
  </si>
  <si>
    <t>Situación real</t>
  </si>
  <si>
    <t>Situación ideal</t>
  </si>
  <si>
    <t>GWAI (I)</t>
  </si>
  <si>
    <t>BRECHA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</si>
</sst>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0.000"/>
    <numFmt numFmtId="166" formatCode="_-* #,##0.0000\ _€_-;\-* #,##0.0000\ _€_-;_-* &quot;-&quot;??\ _€_-;_-@_-"/>
    <numFmt numFmtId="167" formatCode="#,##0.0"/>
    <numFmt numFmtId="168" formatCode="_-* #,##0\ [$€-C0A]_-;\-* #,##0\ [$€-C0A]_-;_-* &quot;-&quot;??\ [$€-C0A]_-;_-@_-"/>
    <numFmt numFmtId="169" formatCode="_-* #,##0\ &quot;€&quot;_-;\-* #,##0\ &quot;€&quot;_-;_-* &quot;-&quot;??\ &quot;€&quot;_-;_-@_-"/>
    <numFmt numFmtId="170" formatCode="dd/mm/yyyy;@"/>
    <numFmt numFmtId="171" formatCode="0.0%"/>
    <numFmt numFmtId="172" formatCode="#,##0_ ;[Red]\-#,##0\ "/>
    <numFmt numFmtId="173" formatCode="#,##0.000\ &quot;€&quot;;[Red]\-#,##0.000\ &quot;€&quot;"/>
    <numFmt numFmtId="174" formatCode="#,##0_);\(#,##0\)"/>
    <numFmt numFmtId="175" formatCode="_-* #,##0\ _€_-;\-* #,##0\ _€_-;_-* &quot;-&quot;??\ _€_-;_-@_-"/>
    <numFmt numFmtId="176" formatCode="#,##0.00\ &quot;€&quot;"/>
    <numFmt numFmtId="177" formatCode="#,##0.00000\ &quot;€&quot;;\-#,##0.00000\ &quot;€&quot;"/>
    <numFmt numFmtId="178" formatCode="#.##000\ &quot;€&quot;;\-#.##000\ &quot;€&quot;"/>
    <numFmt numFmtId="179" formatCode="0.0"/>
  </numFmts>
  <fonts count="18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indexed="8"/>
      <name val="Comic Sans MS"/>
      <family val="4"/>
    </font>
    <font>
      <b/>
      <sz val="20"/>
      <color theme="0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0"/>
      <color rgb="FF4472C4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Segoe UI"/>
      <family val="2"/>
    </font>
    <font>
      <sz val="14"/>
      <name val="Segoe UI"/>
      <family val="2"/>
    </font>
    <font>
      <u/>
      <sz val="10"/>
      <color indexed="12"/>
      <name val="Arial"/>
      <family val="2"/>
    </font>
    <font>
      <sz val="10"/>
      <name val="Segoe UI"/>
      <family val="2"/>
    </font>
    <font>
      <sz val="12"/>
      <name val="Segoe UI"/>
      <family val="2"/>
    </font>
    <font>
      <b/>
      <sz val="8"/>
      <name val="Segoe UI"/>
      <family val="2"/>
    </font>
    <font>
      <sz val="11"/>
      <name val="Segoe UI"/>
      <family val="2"/>
    </font>
    <font>
      <sz val="11"/>
      <color theme="1"/>
      <name val="Cambria"/>
      <family val="1"/>
    </font>
    <font>
      <b/>
      <sz val="12"/>
      <color theme="3" tint="-0.249977111117893"/>
      <name val="Calibri"/>
      <family val="2"/>
      <scheme val="minor"/>
    </font>
    <font>
      <b/>
      <sz val="14"/>
      <color indexed="59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u/>
      <sz val="11"/>
      <color indexed="2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2"/>
      <color theme="3" tint="-0.249977111117893"/>
      <name val="Cambria"/>
      <family val="1"/>
    </font>
    <font>
      <b/>
      <sz val="14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42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2"/>
      <color theme="5" tint="-0.499984740745262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22"/>
      <color theme="3"/>
      <name val="Cambria"/>
      <family val="1"/>
    </font>
    <font>
      <b/>
      <u/>
      <sz val="10"/>
      <color theme="0"/>
      <name val="Arial"/>
      <family val="2"/>
    </font>
    <font>
      <b/>
      <u/>
      <sz val="12"/>
      <color theme="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i/>
      <sz val="9"/>
      <color theme="3" tint="-0.249977111117893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b/>
      <i/>
      <sz val="10"/>
      <color theme="3" tint="-0.249977111117893"/>
      <name val="Times New Roman"/>
      <family val="1"/>
    </font>
    <font>
      <b/>
      <sz val="10"/>
      <color theme="3" tint="-0.249977111117893"/>
      <name val="Times New Roman"/>
      <family val="1"/>
    </font>
    <font>
      <i/>
      <sz val="10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sz val="10"/>
      <color theme="3" tint="-0.249977111117893"/>
      <name val="Calibri"/>
      <family val="2"/>
    </font>
    <font>
      <i/>
      <sz val="10"/>
      <color theme="3" tint="-0.249977111117893"/>
      <name val="Calibri"/>
      <family val="2"/>
    </font>
    <font>
      <sz val="11"/>
      <color theme="3" tint="-0.249977111117893"/>
      <name val="Calibri"/>
      <family val="2"/>
    </font>
    <font>
      <b/>
      <u/>
      <sz val="12"/>
      <color rgb="FF215867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.5"/>
      <color indexed="56"/>
      <name val="Verdana"/>
      <family val="2"/>
    </font>
    <font>
      <sz val="8.5"/>
      <color indexed="63"/>
      <name val="Verdana"/>
      <family val="2"/>
    </font>
    <font>
      <b/>
      <sz val="8.5"/>
      <color indexed="54"/>
      <name val="Verdana"/>
      <family val="2"/>
    </font>
    <font>
      <b/>
      <sz val="8.5"/>
      <color indexed="9"/>
      <name val="Verdana"/>
      <family val="2"/>
    </font>
    <font>
      <sz val="10"/>
      <name val="Arial"/>
      <family val="2"/>
    </font>
    <font>
      <b/>
      <sz val="22"/>
      <color theme="0"/>
      <name val="Cambria"/>
      <family val="1"/>
    </font>
    <font>
      <b/>
      <sz val="26"/>
      <color theme="0"/>
      <name val="Cambria"/>
      <family val="1"/>
    </font>
    <font>
      <b/>
      <sz val="8.5"/>
      <color theme="4"/>
      <name val="Verdana"/>
      <family val="2"/>
    </font>
    <font>
      <b/>
      <sz val="11"/>
      <color rgb="FFFFFFFF"/>
      <name val="Calibri"/>
      <family val="2"/>
    </font>
    <font>
      <b/>
      <i/>
      <sz val="11"/>
      <color rgb="FF4472C4"/>
      <name val="Calibri"/>
      <family val="2"/>
    </font>
    <font>
      <sz val="11"/>
      <color rgb="FF000000"/>
      <name val="Calibri"/>
      <family val="2"/>
    </font>
    <font>
      <b/>
      <i/>
      <sz val="11"/>
      <color rgb="FFFFFFFF"/>
      <name val="Calibri"/>
      <family val="2"/>
    </font>
    <font>
      <i/>
      <sz val="11"/>
      <color rgb="FF4F81BD"/>
      <name val="Calibri"/>
      <family val="2"/>
    </font>
    <font>
      <sz val="11"/>
      <color rgb="FF17365D"/>
      <name val="Calibri"/>
      <family val="2"/>
    </font>
    <font>
      <b/>
      <sz val="22"/>
      <color theme="1"/>
      <name val="Calibri"/>
      <family val="2"/>
      <scheme val="minor"/>
    </font>
    <font>
      <i/>
      <sz val="11"/>
      <name val="Arial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00"/>
      <name val="Calibri"/>
      <family val="2"/>
    </font>
    <font>
      <sz val="10"/>
      <name val="Arial"/>
      <family val="2"/>
    </font>
    <font>
      <sz val="11"/>
      <color rgb="FFEAEAEA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 Black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theme="0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i/>
      <sz val="8"/>
      <name val="Arial"/>
      <family val="2"/>
    </font>
    <font>
      <b/>
      <sz val="8"/>
      <color indexed="81"/>
      <name val="Tahoma"/>
      <family val="2"/>
    </font>
    <font>
      <b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b/>
      <sz val="14"/>
      <color theme="0"/>
      <name val="Gill Sans MT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0"/>
      <name val="Gill Sans MT"/>
      <family val="2"/>
    </font>
    <font>
      <u/>
      <sz val="11"/>
      <color theme="10"/>
      <name val="Calibri"/>
      <family val="2"/>
      <scheme val="minor"/>
    </font>
    <font>
      <b/>
      <sz val="10"/>
      <color rgb="FF0000FF"/>
      <name val="Verdana"/>
      <family val="2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rgb="FFFF5050"/>
      <name val="Arial"/>
      <family val="2"/>
    </font>
    <font>
      <b/>
      <i/>
      <sz val="10"/>
      <color rgb="FFFF505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CG Times"/>
      <family val="1"/>
    </font>
    <font>
      <sz val="12"/>
      <name val="Courier"/>
      <family val="3"/>
    </font>
    <font>
      <sz val="12"/>
      <name val="CG Times"/>
      <family val="1"/>
    </font>
    <font>
      <sz val="8"/>
      <color theme="6" tint="-0.499984740745262"/>
      <name val="Arial"/>
      <family val="2"/>
    </font>
    <font>
      <b/>
      <sz val="8.5"/>
      <color theme="5"/>
      <name val="Verdana"/>
      <family val="2"/>
    </font>
    <font>
      <b/>
      <i/>
      <sz val="8"/>
      <color rgb="FFFF5050"/>
      <name val="Arial"/>
      <family val="2"/>
    </font>
    <font>
      <sz val="11"/>
      <color theme="1"/>
      <name val="Calibri"/>
      <family val="2"/>
    </font>
    <font>
      <b/>
      <sz val="11"/>
      <color theme="0" tint="-0.249977111117893"/>
      <name val="Calibri"/>
      <family val="2"/>
    </font>
    <font>
      <sz val="11"/>
      <color theme="0" tint="-0.249977111117893"/>
      <name val="Calibri"/>
      <family val="2"/>
    </font>
    <font>
      <b/>
      <i/>
      <sz val="11"/>
      <color rgb="FF000000"/>
      <name val="Calibri"/>
      <family val="2"/>
    </font>
    <font>
      <b/>
      <sz val="11"/>
      <color rgb="FF17365D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0"/>
      <name val="Arial Black"/>
      <family val="2"/>
    </font>
    <font>
      <b/>
      <sz val="11"/>
      <color theme="1"/>
      <name val="Calibri"/>
      <family val="2"/>
    </font>
    <font>
      <b/>
      <sz val="11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8"/>
      <name val="Calibri"/>
      <family val="2"/>
      <scheme val="minor"/>
    </font>
    <font>
      <b/>
      <i/>
      <sz val="11"/>
      <color theme="0"/>
      <name val="Calibri"/>
      <family val="2"/>
    </font>
    <font>
      <b/>
      <sz val="10"/>
      <color theme="8"/>
      <name val="Arial"/>
      <family val="2"/>
    </font>
    <font>
      <sz val="8.5"/>
      <name val="Verdana"/>
      <family val="2"/>
    </font>
    <font>
      <b/>
      <sz val="9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rgb="FFFFFFFF"/>
      <name val="Calibri"/>
      <family val="2"/>
    </font>
    <font>
      <b/>
      <i/>
      <sz val="10"/>
      <color rgb="FF4472C4"/>
      <name val="Calibri"/>
      <family val="2"/>
    </font>
    <font>
      <b/>
      <sz val="11"/>
      <color theme="6" tint="-0.499984740745262"/>
      <name val="Calibri"/>
      <family val="2"/>
    </font>
    <font>
      <i/>
      <sz val="10"/>
      <name val="Arial"/>
      <family val="2"/>
    </font>
    <font>
      <b/>
      <i/>
      <sz val="10"/>
      <color rgb="FFFFFFFF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7" tint="-0.249977111117893"/>
      <name val="Calibri"/>
      <family val="2"/>
    </font>
    <font>
      <sz val="10"/>
      <color rgb="FF7030A0"/>
      <name val="Calibri"/>
      <family val="2"/>
    </font>
    <font>
      <b/>
      <sz val="10"/>
      <color rgb="FF000000"/>
      <name val="Calibri"/>
      <family val="2"/>
    </font>
    <font>
      <b/>
      <sz val="10"/>
      <color rgb="FFFFFF00"/>
      <name val="Calibri"/>
      <family val="2"/>
    </font>
    <font>
      <b/>
      <sz val="10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color rgb="FFFFFF00"/>
      <name val="Calibri"/>
      <family val="2"/>
    </font>
    <font>
      <b/>
      <sz val="10"/>
      <color rgb="FFC00000"/>
      <name val="Calibri"/>
      <family val="2"/>
    </font>
    <font>
      <b/>
      <sz val="10"/>
      <color theme="6" tint="-0.499984740745262"/>
      <name val="Calibri"/>
      <family val="2"/>
    </font>
    <font>
      <b/>
      <sz val="10"/>
      <color theme="9" tint="-0.249977111117893"/>
      <name val="Calibri"/>
      <family val="2"/>
    </font>
    <font>
      <i/>
      <sz val="10"/>
      <color rgb="FF7030A0"/>
      <name val="Calibri"/>
      <family val="2"/>
    </font>
    <font>
      <b/>
      <i/>
      <sz val="10"/>
      <color theme="0"/>
      <name val="Calibri"/>
      <family val="2"/>
    </font>
    <font>
      <b/>
      <sz val="12"/>
      <color theme="4" tint="-0.249977111117893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theme="9" tint="-0.249977111117893"/>
      <name val="Calibri"/>
      <family val="2"/>
    </font>
    <font>
      <b/>
      <sz val="11"/>
      <name val="Calibri"/>
      <family val="2"/>
    </font>
    <font>
      <b/>
      <sz val="11"/>
      <color rgb="FF00B050"/>
      <name val="Calibri"/>
      <family val="2"/>
    </font>
    <font>
      <b/>
      <sz val="11"/>
      <color rgb="FFFFC000"/>
      <name val="Calibri"/>
      <family val="2"/>
    </font>
    <font>
      <b/>
      <sz val="11"/>
      <color theme="4"/>
      <name val="Calibri"/>
      <family val="2"/>
    </font>
    <font>
      <b/>
      <sz val="11"/>
      <color rgb="FF00B050"/>
      <name val="Calibri"/>
      <family val="2"/>
      <scheme val="minor"/>
    </font>
    <font>
      <b/>
      <sz val="11"/>
      <color theme="9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indexed="5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FF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C0BA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</patternFill>
    </fill>
    <fill>
      <patternFill patternType="solid">
        <fgColor rgb="FFF7FBD3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9CC2E5"/>
      </right>
      <top/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9CC2E5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3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auto="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1" tint="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1" tint="0.499984740745262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8EAADB"/>
      </right>
      <top style="medium">
        <color rgb="FF8EAADB"/>
      </top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EAADB"/>
      </bottom>
      <diagonal/>
    </border>
    <border>
      <left style="medium">
        <color indexed="64"/>
      </left>
      <right style="medium">
        <color indexed="64"/>
      </right>
      <top style="medium">
        <color rgb="FF8EAADB"/>
      </top>
      <bottom style="medium">
        <color rgb="FF8EAADB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rgb="FF8EAADB"/>
      </top>
      <bottom style="medium">
        <color indexed="6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 style="medium">
        <color rgb="FF8EAADB"/>
      </top>
      <bottom/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  <border>
      <left style="medium">
        <color indexed="64"/>
      </left>
      <right style="medium">
        <color indexed="64"/>
      </right>
      <top style="medium">
        <color rgb="FF8EAADB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8EAADB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8EAADB"/>
      </left>
      <right/>
      <top style="medium">
        <color rgb="FF8EAADB"/>
      </top>
      <bottom style="medium">
        <color rgb="FF8EAADB"/>
      </bottom>
      <diagonal/>
    </border>
  </borders>
  <cellStyleXfs count="7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9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4" fillId="0" borderId="0"/>
    <xf numFmtId="9" fontId="6" fillId="0" borderId="0" applyFont="0" applyFill="0" applyBorder="0" applyAlignment="0" applyProtection="0"/>
    <xf numFmtId="0" fontId="79" fillId="0" borderId="0"/>
    <xf numFmtId="0" fontId="121" fillId="0" borderId="0" applyNumberFormat="0" applyFill="0" applyBorder="0" applyAlignment="0" applyProtection="0"/>
    <xf numFmtId="174" fontId="136" fillId="0" borderId="0"/>
    <xf numFmtId="0" fontId="152" fillId="0" borderId="0"/>
  </cellStyleXfs>
  <cellXfs count="76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Fill="1" applyBorder="1"/>
    <xf numFmtId="0" fontId="10" fillId="0" borderId="0" xfId="0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/>
    <xf numFmtId="164" fontId="0" fillId="0" borderId="0" xfId="0" applyNumberFormat="1" applyAlignment="1">
      <alignment horizontal="right"/>
    </xf>
    <xf numFmtId="0" fontId="17" fillId="0" borderId="0" xfId="0" applyFont="1" applyFill="1" applyBorder="1"/>
    <xf numFmtId="0" fontId="19" fillId="0" borderId="0" xfId="0" applyFont="1"/>
    <xf numFmtId="0" fontId="0" fillId="0" borderId="0" xfId="0" applyAlignment="1">
      <alignment horizontal="center"/>
    </xf>
    <xf numFmtId="0" fontId="29" fillId="0" borderId="0" xfId="0" applyFont="1" applyFill="1" applyBorder="1"/>
    <xf numFmtId="0" fontId="15" fillId="6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/>
    <xf numFmtId="49" fontId="31" fillId="11" borderId="27" xfId="0" applyNumberFormat="1" applyFont="1" applyFill="1" applyBorder="1" applyAlignment="1" applyProtection="1"/>
    <xf numFmtId="0" fontId="32" fillId="11" borderId="0" xfId="0" applyFont="1" applyFill="1" applyBorder="1" applyAlignment="1" applyProtection="1">
      <alignment vertical="center"/>
    </xf>
    <xf numFmtId="0" fontId="21" fillId="11" borderId="0" xfId="0" applyFont="1" applyFill="1" applyBorder="1" applyAlignment="1" applyProtection="1">
      <alignment vertical="center"/>
    </xf>
    <xf numFmtId="0" fontId="34" fillId="11" borderId="27" xfId="0" applyFont="1" applyFill="1" applyBorder="1" applyAlignment="1" applyProtection="1">
      <alignment vertical="center"/>
    </xf>
    <xf numFmtId="49" fontId="35" fillId="11" borderId="0" xfId="3" applyNumberFormat="1" applyFont="1" applyFill="1" applyBorder="1" applyAlignment="1" applyProtection="1">
      <alignment vertical="center"/>
    </xf>
    <xf numFmtId="49" fontId="36" fillId="11" borderId="0" xfId="3" applyNumberFormat="1" applyFont="1" applyFill="1" applyBorder="1" applyAlignment="1" applyProtection="1">
      <alignment horizontal="right" vertical="center"/>
    </xf>
    <xf numFmtId="0" fontId="20" fillId="11" borderId="0" xfId="0" applyFont="1" applyFill="1" applyBorder="1" applyProtection="1"/>
    <xf numFmtId="49" fontId="33" fillId="11" borderId="0" xfId="3" applyNumberFormat="1" applyFont="1" applyFill="1" applyBorder="1" applyAlignment="1" applyProtection="1">
      <alignment horizontal="right" vertical="center"/>
    </xf>
    <xf numFmtId="0" fontId="39" fillId="0" borderId="0" xfId="0" applyFont="1" applyFill="1" applyBorder="1"/>
    <xf numFmtId="0" fontId="41" fillId="0" borderId="0" xfId="0" applyFont="1" applyFill="1" applyBorder="1" applyProtection="1"/>
    <xf numFmtId="0" fontId="0" fillId="0" borderId="0" xfId="0" applyFont="1" applyFill="1"/>
    <xf numFmtId="0" fontId="41" fillId="12" borderId="17" xfId="0" applyFont="1" applyFill="1" applyBorder="1" applyAlignment="1" applyProtection="1">
      <protection locked="0"/>
    </xf>
    <xf numFmtId="0" fontId="42" fillId="12" borderId="18" xfId="0" applyFont="1" applyFill="1" applyBorder="1" applyAlignment="1" applyProtection="1">
      <alignment horizontal="left" vertical="center"/>
      <protection locked="0"/>
    </xf>
    <xf numFmtId="0" fontId="43" fillId="12" borderId="18" xfId="0" applyFont="1" applyFill="1" applyBorder="1" applyAlignment="1" applyProtection="1">
      <alignment vertical="center"/>
      <protection locked="0"/>
    </xf>
    <xf numFmtId="0" fontId="43" fillId="12" borderId="19" xfId="0" applyFont="1" applyFill="1" applyBorder="1" applyAlignment="1" applyProtection="1">
      <alignment vertical="center"/>
      <protection locked="0"/>
    </xf>
    <xf numFmtId="0" fontId="41" fillId="11" borderId="23" xfId="0" applyFont="1" applyFill="1" applyBorder="1" applyProtection="1">
      <protection locked="0"/>
    </xf>
    <xf numFmtId="0" fontId="41" fillId="11" borderId="0" xfId="0" applyFont="1" applyFill="1" applyBorder="1" applyProtection="1">
      <protection locked="0"/>
    </xf>
    <xf numFmtId="0" fontId="41" fillId="11" borderId="24" xfId="0" applyFont="1" applyFill="1" applyBorder="1" applyProtection="1">
      <protection locked="0"/>
    </xf>
    <xf numFmtId="0" fontId="45" fillId="9" borderId="15" xfId="3" applyFont="1" applyFill="1" applyBorder="1" applyAlignment="1" applyProtection="1">
      <alignment horizontal="center" vertical="center"/>
    </xf>
    <xf numFmtId="0" fontId="46" fillId="10" borderId="16" xfId="3" applyFont="1" applyFill="1" applyBorder="1" applyAlignment="1" applyProtection="1">
      <alignment horizontal="center" vertical="center"/>
    </xf>
    <xf numFmtId="0" fontId="47" fillId="8" borderId="14" xfId="3" applyFont="1" applyFill="1" applyBorder="1" applyAlignment="1" applyProtection="1">
      <alignment horizontal="center" vertical="center"/>
    </xf>
    <xf numFmtId="0" fontId="41" fillId="11" borderId="20" xfId="0" applyFont="1" applyFill="1" applyBorder="1" applyProtection="1">
      <protection locked="0"/>
    </xf>
    <xf numFmtId="0" fontId="41" fillId="11" borderId="21" xfId="0" applyFont="1" applyFill="1" applyBorder="1" applyProtection="1">
      <protection locked="0"/>
    </xf>
    <xf numFmtId="0" fontId="48" fillId="11" borderId="0" xfId="0" applyFont="1" applyFill="1" applyBorder="1" applyProtection="1">
      <protection locked="0"/>
    </xf>
    <xf numFmtId="0" fontId="50" fillId="12" borderId="25" xfId="3" applyFont="1" applyFill="1" applyBorder="1" applyAlignment="1" applyProtection="1">
      <alignment horizontal="center" vertical="center"/>
    </xf>
    <xf numFmtId="49" fontId="52" fillId="11" borderId="0" xfId="3" applyNumberFormat="1" applyFont="1" applyFill="1" applyBorder="1" applyAlignment="1" applyProtection="1">
      <alignment vertical="center"/>
    </xf>
    <xf numFmtId="0" fontId="39" fillId="0" borderId="0" xfId="0" applyFont="1" applyFill="1" applyBorder="1" applyProtection="1"/>
    <xf numFmtId="0" fontId="0" fillId="0" borderId="0" xfId="0" applyProtection="1"/>
    <xf numFmtId="0" fontId="0" fillId="0" borderId="0" xfId="0" applyFill="1" applyProtection="1"/>
    <xf numFmtId="49" fontId="30" fillId="11" borderId="27" xfId="0" applyNumberFormat="1" applyFont="1" applyFill="1" applyBorder="1" applyAlignment="1" applyProtection="1"/>
    <xf numFmtId="0" fontId="21" fillId="11" borderId="0" xfId="0" applyFont="1" applyFill="1" applyBorder="1" applyAlignment="1" applyProtection="1">
      <alignment horizontal="left"/>
    </xf>
    <xf numFmtId="49" fontId="30" fillId="11" borderId="0" xfId="0" applyNumberFormat="1" applyFont="1" applyFill="1" applyBorder="1" applyAlignment="1" applyProtection="1"/>
    <xf numFmtId="0" fontId="33" fillId="11" borderId="0" xfId="0" applyFont="1" applyFill="1" applyBorder="1" applyProtection="1"/>
    <xf numFmtId="0" fontId="53" fillId="0" borderId="0" xfId="0" applyFont="1" applyFill="1" applyBorder="1" applyProtection="1"/>
    <xf numFmtId="0" fontId="38" fillId="0" borderId="0" xfId="0" applyFont="1" applyProtection="1"/>
    <xf numFmtId="0" fontId="30" fillId="10" borderId="16" xfId="3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/>
    <xf numFmtId="0" fontId="40" fillId="2" borderId="0" xfId="0" applyFont="1" applyFill="1" applyBorder="1"/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0" fontId="25" fillId="2" borderId="0" xfId="0" applyFont="1" applyFill="1" applyBorder="1" applyProtection="1"/>
    <xf numFmtId="49" fontId="18" fillId="2" borderId="0" xfId="3" applyNumberFormat="1" applyFont="1" applyFill="1" applyBorder="1" applyAlignment="1" applyProtection="1">
      <alignment vertical="center"/>
    </xf>
    <xf numFmtId="49" fontId="54" fillId="2" borderId="0" xfId="3" applyNumberFormat="1" applyFont="1" applyFill="1" applyBorder="1" applyAlignment="1" applyProtection="1">
      <alignment vertical="center"/>
    </xf>
    <xf numFmtId="0" fontId="21" fillId="2" borderId="0" xfId="0" applyFont="1" applyFill="1" applyBorder="1" applyProtection="1"/>
    <xf numFmtId="0" fontId="0" fillId="2" borderId="0" xfId="0" applyFill="1" applyProtection="1"/>
    <xf numFmtId="0" fontId="38" fillId="0" borderId="0" xfId="0" applyFont="1"/>
    <xf numFmtId="0" fontId="22" fillId="11" borderId="32" xfId="0" applyFont="1" applyFill="1" applyBorder="1" applyAlignment="1" applyProtection="1">
      <alignment vertical="center"/>
    </xf>
    <xf numFmtId="0" fontId="27" fillId="11" borderId="33" xfId="0" applyFont="1" applyFill="1" applyBorder="1" applyAlignment="1" applyProtection="1">
      <alignment horizontal="center" vertical="center"/>
    </xf>
    <xf numFmtId="0" fontId="27" fillId="11" borderId="34" xfId="0" applyFont="1" applyFill="1" applyBorder="1" applyAlignment="1" applyProtection="1">
      <alignment horizontal="center" vertical="center"/>
    </xf>
    <xf numFmtId="0" fontId="23" fillId="11" borderId="35" xfId="0" applyFont="1" applyFill="1" applyBorder="1" applyAlignment="1" applyProtection="1">
      <alignment vertical="center"/>
    </xf>
    <xf numFmtId="167" fontId="38" fillId="11" borderId="36" xfId="0" applyNumberFormat="1" applyFont="1" applyFill="1" applyBorder="1" applyAlignment="1" applyProtection="1">
      <alignment horizontal="left" wrapText="1"/>
    </xf>
    <xf numFmtId="0" fontId="25" fillId="11" borderId="35" xfId="0" applyFont="1" applyFill="1" applyBorder="1" applyAlignment="1" applyProtection="1">
      <alignment vertical="center"/>
    </xf>
    <xf numFmtId="0" fontId="38" fillId="11" borderId="36" xfId="0" applyFont="1" applyFill="1" applyBorder="1" applyAlignment="1" applyProtection="1">
      <alignment horizontal="left" wrapText="1"/>
    </xf>
    <xf numFmtId="0" fontId="26" fillId="11" borderId="35" xfId="0" applyFont="1" applyFill="1" applyBorder="1" applyAlignment="1" applyProtection="1">
      <alignment vertical="center"/>
    </xf>
    <xf numFmtId="0" fontId="38" fillId="11" borderId="36" xfId="0" applyFont="1" applyFill="1" applyBorder="1" applyAlignment="1" applyProtection="1">
      <alignment wrapText="1"/>
    </xf>
    <xf numFmtId="0" fontId="28" fillId="11" borderId="35" xfId="0" applyFont="1" applyFill="1" applyBorder="1" applyProtection="1"/>
    <xf numFmtId="0" fontId="20" fillId="11" borderId="36" xfId="0" applyFont="1" applyFill="1" applyBorder="1" applyProtection="1"/>
    <xf numFmtId="49" fontId="30" fillId="11" borderId="35" xfId="0" applyNumberFormat="1" applyFont="1" applyFill="1" applyBorder="1" applyAlignment="1" applyProtection="1"/>
    <xf numFmtId="0" fontId="25" fillId="11" borderId="35" xfId="0" applyFont="1" applyFill="1" applyBorder="1" applyProtection="1"/>
    <xf numFmtId="0" fontId="21" fillId="11" borderId="36" xfId="0" applyFont="1" applyFill="1" applyBorder="1" applyProtection="1"/>
    <xf numFmtId="49" fontId="30" fillId="11" borderId="37" xfId="0" applyNumberFormat="1" applyFont="1" applyFill="1" applyBorder="1" applyAlignment="1" applyProtection="1"/>
    <xf numFmtId="0" fontId="20" fillId="11" borderId="38" xfId="0" applyFont="1" applyFill="1" applyBorder="1" applyProtection="1"/>
    <xf numFmtId="49" fontId="33" fillId="11" borderId="38" xfId="3" applyNumberFormat="1" applyFont="1" applyFill="1" applyBorder="1" applyAlignment="1" applyProtection="1">
      <alignment horizontal="right" vertical="center"/>
    </xf>
    <xf numFmtId="0" fontId="20" fillId="11" borderId="39" xfId="0" applyFont="1" applyFill="1" applyBorder="1" applyProtection="1"/>
    <xf numFmtId="0" fontId="55" fillId="12" borderId="26" xfId="3" applyFont="1" applyFill="1" applyBorder="1" applyAlignment="1" applyProtection="1">
      <alignment horizontal="center" vertical="center"/>
    </xf>
    <xf numFmtId="0" fontId="38" fillId="10" borderId="14" xfId="0" applyFont="1" applyFill="1" applyBorder="1"/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62" fillId="6" borderId="11" xfId="0" applyFont="1" applyFill="1" applyBorder="1" applyAlignment="1">
      <alignment horizontal="right" vertical="center" wrapText="1"/>
    </xf>
    <xf numFmtId="0" fontId="63" fillId="6" borderId="11" xfId="0" applyFont="1" applyFill="1" applyBorder="1" applyAlignment="1">
      <alignment horizontal="center" vertical="center" wrapText="1"/>
    </xf>
    <xf numFmtId="0" fontId="63" fillId="6" borderId="11" xfId="0" applyFont="1" applyFill="1" applyBorder="1" applyAlignment="1">
      <alignment vertical="center" wrapText="1"/>
    </xf>
    <xf numFmtId="0" fontId="64" fillId="6" borderId="7" xfId="0" applyFont="1" applyFill="1" applyBorder="1" applyAlignment="1">
      <alignment horizontal="right" vertical="center" wrapText="1"/>
    </xf>
    <xf numFmtId="3" fontId="65" fillId="7" borderId="8" xfId="0" applyNumberFormat="1" applyFont="1" applyFill="1" applyBorder="1" applyAlignment="1">
      <alignment horizontal="center" vertical="center" wrapText="1"/>
    </xf>
    <xf numFmtId="0" fontId="64" fillId="7" borderId="8" xfId="0" applyFont="1" applyFill="1" applyBorder="1" applyAlignment="1">
      <alignment horizontal="justify" vertical="center" wrapText="1"/>
    </xf>
    <xf numFmtId="0" fontId="65" fillId="7" borderId="8" xfId="0" applyFont="1" applyFill="1" applyBorder="1" applyAlignment="1">
      <alignment horizontal="center" vertical="center" wrapText="1"/>
    </xf>
    <xf numFmtId="3" fontId="65" fillId="0" borderId="8" xfId="0" applyNumberFormat="1" applyFont="1" applyBorder="1" applyAlignment="1">
      <alignment horizontal="center" vertical="center" wrapText="1"/>
    </xf>
    <xf numFmtId="0" fontId="64" fillId="0" borderId="8" xfId="0" applyFont="1" applyBorder="1" applyAlignment="1">
      <alignment horizontal="justify" vertical="center" wrapText="1"/>
    </xf>
    <xf numFmtId="0" fontId="65" fillId="0" borderId="8" xfId="0" applyFont="1" applyBorder="1" applyAlignment="1">
      <alignment horizontal="center" vertical="center" wrapText="1"/>
    </xf>
    <xf numFmtId="3" fontId="66" fillId="7" borderId="8" xfId="0" applyNumberFormat="1" applyFont="1" applyFill="1" applyBorder="1" applyAlignment="1">
      <alignment horizontal="center" vertical="center" wrapText="1"/>
    </xf>
    <xf numFmtId="3" fontId="66" fillId="0" borderId="8" xfId="0" applyNumberFormat="1" applyFont="1" applyBorder="1" applyAlignment="1">
      <alignment horizontal="center" vertical="center" wrapText="1"/>
    </xf>
    <xf numFmtId="0" fontId="64" fillId="0" borderId="8" xfId="0" applyFont="1" applyBorder="1" applyAlignment="1">
      <alignment vertical="center" wrapText="1"/>
    </xf>
    <xf numFmtId="3" fontId="67" fillId="7" borderId="8" xfId="0" applyNumberFormat="1" applyFont="1" applyFill="1" applyBorder="1" applyAlignment="1">
      <alignment horizontal="center" vertical="center" wrapText="1"/>
    </xf>
    <xf numFmtId="165" fontId="66" fillId="0" borderId="8" xfId="0" applyNumberFormat="1" applyFont="1" applyBorder="1" applyAlignment="1">
      <alignment horizontal="center" vertical="center" wrapText="1"/>
    </xf>
    <xf numFmtId="165" fontId="66" fillId="7" borderId="8" xfId="0" applyNumberFormat="1" applyFont="1" applyFill="1" applyBorder="1" applyAlignment="1">
      <alignment horizontal="center" vertical="center" wrapText="1"/>
    </xf>
    <xf numFmtId="166" fontId="68" fillId="0" borderId="8" xfId="0" applyNumberFormat="1" applyFont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right"/>
    </xf>
    <xf numFmtId="0" fontId="13" fillId="14" borderId="6" xfId="0" applyFont="1" applyFill="1" applyBorder="1" applyAlignment="1">
      <alignment horizontal="right"/>
    </xf>
    <xf numFmtId="0" fontId="13" fillId="14" borderId="2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/>
    </xf>
    <xf numFmtId="3" fontId="37" fillId="10" borderId="3" xfId="0" applyNumberFormat="1" applyFont="1" applyFill="1" applyBorder="1"/>
    <xf numFmtId="165" fontId="37" fillId="0" borderId="0" xfId="0" applyNumberFormat="1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10" borderId="40" xfId="0" applyFont="1" applyFill="1" applyBorder="1" applyAlignment="1">
      <alignment horizontal="center"/>
    </xf>
    <xf numFmtId="166" fontId="38" fillId="10" borderId="40" xfId="1" applyNumberFormat="1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3" fontId="38" fillId="5" borderId="3" xfId="0" applyNumberFormat="1" applyFont="1" applyFill="1" applyBorder="1" applyAlignment="1">
      <alignment horizontal="center"/>
    </xf>
    <xf numFmtId="3" fontId="38" fillId="5" borderId="28" xfId="0" applyNumberFormat="1" applyFont="1" applyFill="1" applyBorder="1" applyAlignment="1">
      <alignment horizontal="center"/>
    </xf>
    <xf numFmtId="3" fontId="37" fillId="5" borderId="2" xfId="0" applyNumberFormat="1" applyFont="1" applyFill="1" applyBorder="1"/>
    <xf numFmtId="3" fontId="37" fillId="5" borderId="1" xfId="0" applyNumberFormat="1" applyFont="1" applyFill="1" applyBorder="1"/>
    <xf numFmtId="3" fontId="61" fillId="5" borderId="4" xfId="0" applyNumberFormat="1" applyFont="1" applyFill="1" applyBorder="1"/>
    <xf numFmtId="3" fontId="37" fillId="5" borderId="10" xfId="0" applyNumberFormat="1" applyFont="1" applyFill="1" applyBorder="1"/>
    <xf numFmtId="3" fontId="37" fillId="5" borderId="6" xfId="0" applyNumberFormat="1" applyFont="1" applyFill="1" applyBorder="1"/>
    <xf numFmtId="0" fontId="55" fillId="12" borderId="26" xfId="0" applyFont="1" applyFill="1" applyBorder="1" applyAlignment="1">
      <alignment horizontal="center"/>
    </xf>
    <xf numFmtId="49" fontId="55" fillId="12" borderId="0" xfId="3" applyNumberFormat="1" applyFont="1" applyFill="1" applyBorder="1" applyAlignment="1" applyProtection="1">
      <alignment horizontal="center" vertical="center"/>
    </xf>
    <xf numFmtId="49" fontId="18" fillId="11" borderId="0" xfId="3" applyNumberFormat="1" applyFont="1" applyFill="1" applyBorder="1" applyAlignment="1" applyProtection="1">
      <alignment horizontal="center" vertical="center"/>
    </xf>
    <xf numFmtId="0" fontId="55" fillId="12" borderId="0" xfId="3" applyFont="1" applyFill="1" applyBorder="1" applyAlignment="1" applyProtection="1">
      <alignment horizontal="center"/>
    </xf>
    <xf numFmtId="0" fontId="69" fillId="8" borderId="14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readingOrder="1"/>
    </xf>
    <xf numFmtId="164" fontId="16" fillId="0" borderId="0" xfId="0" applyNumberFormat="1" applyFont="1" applyFill="1" applyBorder="1" applyAlignment="1">
      <alignment horizontal="right"/>
    </xf>
    <xf numFmtId="6" fontId="8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 vertical="center" wrapText="1"/>
    </xf>
    <xf numFmtId="0" fontId="45" fillId="16" borderId="42" xfId="3" applyFont="1" applyFill="1" applyBorder="1" applyAlignment="1" applyProtection="1">
      <alignment horizontal="center" vertical="center"/>
    </xf>
    <xf numFmtId="0" fontId="50" fillId="4" borderId="43" xfId="3" applyFont="1" applyFill="1" applyBorder="1" applyAlignment="1" applyProtection="1">
      <alignment horizontal="center" vertical="center"/>
    </xf>
    <xf numFmtId="0" fontId="45" fillId="18" borderId="44" xfId="3" applyFont="1" applyFill="1" applyBorder="1" applyAlignment="1" applyProtection="1">
      <alignment horizontal="center" vertical="center"/>
    </xf>
    <xf numFmtId="0" fontId="47" fillId="15" borderId="41" xfId="3" applyFont="1" applyFill="1" applyBorder="1" applyAlignment="1" applyProtection="1">
      <alignment horizontal="center" vertical="center"/>
    </xf>
    <xf numFmtId="0" fontId="46" fillId="17" borderId="45" xfId="3" applyFont="1" applyFill="1" applyBorder="1" applyAlignment="1" applyProtection="1">
      <alignment horizontal="center" vertical="center"/>
    </xf>
    <xf numFmtId="0" fontId="75" fillId="19" borderId="57" xfId="0" applyFont="1" applyFill="1" applyBorder="1" applyAlignment="1">
      <alignment horizontal="left" vertical="top" wrapText="1"/>
    </xf>
    <xf numFmtId="0" fontId="76" fillId="19" borderId="57" xfId="0" applyFont="1" applyFill="1" applyBorder="1" applyAlignment="1">
      <alignment horizontal="left" vertical="top" wrapText="1"/>
    </xf>
    <xf numFmtId="0" fontId="75" fillId="20" borderId="57" xfId="0" applyFont="1" applyFill="1" applyBorder="1" applyAlignment="1">
      <alignment horizontal="left" vertical="top" wrapText="1"/>
    </xf>
    <xf numFmtId="0" fontId="76" fillId="20" borderId="57" xfId="0" applyFont="1" applyFill="1" applyBorder="1" applyAlignment="1">
      <alignment horizontal="left" vertical="top" wrapText="1"/>
    </xf>
    <xf numFmtId="0" fontId="77" fillId="20" borderId="57" xfId="0" applyFont="1" applyFill="1" applyBorder="1" applyAlignment="1">
      <alignment horizontal="left" vertical="top" wrapText="1"/>
    </xf>
    <xf numFmtId="3" fontId="76" fillId="19" borderId="57" xfId="0" applyNumberFormat="1" applyFont="1" applyFill="1" applyBorder="1" applyAlignment="1">
      <alignment horizontal="right" vertical="top"/>
    </xf>
    <xf numFmtId="3" fontId="76" fillId="20" borderId="57" xfId="0" applyNumberFormat="1" applyFont="1" applyFill="1" applyBorder="1" applyAlignment="1">
      <alignment horizontal="right" vertical="top"/>
    </xf>
    <xf numFmtId="0" fontId="76" fillId="20" borderId="57" xfId="0" applyFont="1" applyFill="1" applyBorder="1" applyAlignment="1">
      <alignment horizontal="right" vertical="top" wrapText="1"/>
    </xf>
    <xf numFmtId="0" fontId="76" fillId="19" borderId="57" xfId="0" applyFont="1" applyFill="1" applyBorder="1" applyAlignment="1">
      <alignment horizontal="right" vertical="top" wrapText="1"/>
    </xf>
    <xf numFmtId="6" fontId="0" fillId="0" borderId="0" xfId="0" applyNumberFormat="1"/>
    <xf numFmtId="49" fontId="79" fillId="0" borderId="0" xfId="64" applyNumberFormat="1" applyFill="1" applyAlignment="1">
      <alignment horizontal="left"/>
    </xf>
    <xf numFmtId="0" fontId="80" fillId="0" borderId="0" xfId="0" applyFont="1" applyFill="1" applyBorder="1"/>
    <xf numFmtId="49" fontId="81" fillId="0" borderId="0" xfId="0" applyNumberFormat="1" applyFont="1" applyFill="1" applyBorder="1"/>
    <xf numFmtId="49" fontId="80" fillId="0" borderId="0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5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6" xfId="0" applyFill="1" applyBorder="1" applyAlignment="1">
      <alignment horizontal="center" vertical="center" wrapText="1"/>
    </xf>
    <xf numFmtId="168" fontId="0" fillId="0" borderId="56" xfId="0" applyNumberFormat="1" applyBorder="1" applyAlignment="1">
      <alignment horizontal="center" vertical="center"/>
    </xf>
    <xf numFmtId="168" fontId="0" fillId="0" borderId="56" xfId="0" applyNumberFormat="1" applyBorder="1" applyAlignment="1">
      <alignment horizontal="center" vertical="center" wrapText="1"/>
    </xf>
    <xf numFmtId="0" fontId="83" fillId="25" borderId="59" xfId="0" applyFont="1" applyFill="1" applyBorder="1" applyAlignment="1">
      <alignment horizontal="center" vertical="center" wrapText="1" readingOrder="1"/>
    </xf>
    <xf numFmtId="0" fontId="84" fillId="25" borderId="60" xfId="0" applyFont="1" applyFill="1" applyBorder="1" applyAlignment="1">
      <alignment horizontal="center" vertical="center" wrapText="1" readingOrder="1"/>
    </xf>
    <xf numFmtId="6" fontId="85" fillId="26" borderId="61" xfId="0" applyNumberFormat="1" applyFont="1" applyFill="1" applyBorder="1" applyAlignment="1">
      <alignment horizontal="right" wrapText="1" readingOrder="1"/>
    </xf>
    <xf numFmtId="0" fontId="84" fillId="26" borderId="61" xfId="0" applyFont="1" applyFill="1" applyBorder="1" applyAlignment="1">
      <alignment horizontal="center" vertical="center" wrapText="1" readingOrder="1"/>
    </xf>
    <xf numFmtId="6" fontId="85" fillId="0" borderId="62" xfId="0" applyNumberFormat="1" applyFont="1" applyBorder="1" applyAlignment="1">
      <alignment horizontal="right" wrapText="1" readingOrder="1"/>
    </xf>
    <xf numFmtId="0" fontId="84" fillId="0" borderId="62" xfId="0" applyFont="1" applyBorder="1" applyAlignment="1">
      <alignment horizontal="center" vertical="center" wrapText="1" readingOrder="1"/>
    </xf>
    <xf numFmtId="6" fontId="85" fillId="26" borderId="62" xfId="0" applyNumberFormat="1" applyFont="1" applyFill="1" applyBorder="1" applyAlignment="1">
      <alignment horizontal="right" wrapText="1" readingOrder="1"/>
    </xf>
    <xf numFmtId="0" fontId="84" fillId="26" borderId="62" xfId="0" applyFont="1" applyFill="1" applyBorder="1" applyAlignment="1">
      <alignment horizontal="center" vertical="center" wrapText="1" readingOrder="1"/>
    </xf>
    <xf numFmtId="0" fontId="86" fillId="25" borderId="62" xfId="0" applyFont="1" applyFill="1" applyBorder="1" applyAlignment="1">
      <alignment horizontal="center" vertical="center" wrapText="1" readingOrder="1"/>
    </xf>
    <xf numFmtId="0" fontId="86" fillId="27" borderId="62" xfId="0" applyFont="1" applyFill="1" applyBorder="1" applyAlignment="1">
      <alignment horizontal="center" vertical="center" wrapText="1" readingOrder="1"/>
    </xf>
    <xf numFmtId="169" fontId="87" fillId="0" borderId="62" xfId="0" applyNumberFormat="1" applyFont="1" applyBorder="1" applyAlignment="1">
      <alignment horizontal="right" wrapText="1" readingOrder="1"/>
    </xf>
    <xf numFmtId="169" fontId="86" fillId="27" borderId="62" xfId="2" applyNumberFormat="1" applyFont="1" applyFill="1" applyBorder="1" applyAlignment="1">
      <alignment horizontal="right" wrapText="1" readingOrder="1"/>
    </xf>
    <xf numFmtId="0" fontId="83" fillId="26" borderId="62" xfId="0" applyFont="1" applyFill="1" applyBorder="1" applyAlignment="1">
      <alignment horizontal="center" vertical="center" wrapText="1" readingOrder="1"/>
    </xf>
    <xf numFmtId="0" fontId="83" fillId="0" borderId="62" xfId="0" applyFont="1" applyBorder="1" applyAlignment="1">
      <alignment horizontal="center" vertical="center" wrapText="1" readingOrder="1"/>
    </xf>
    <xf numFmtId="0" fontId="89" fillId="0" borderId="0" xfId="0" applyFont="1"/>
    <xf numFmtId="0" fontId="2" fillId="0" borderId="0" xfId="0" applyFont="1"/>
    <xf numFmtId="0" fontId="90" fillId="25" borderId="58" xfId="0" applyFont="1" applyFill="1" applyBorder="1" applyAlignment="1">
      <alignment vertical="top" wrapText="1"/>
    </xf>
    <xf numFmtId="0" fontId="91" fillId="26" borderId="61" xfId="0" applyFont="1" applyFill="1" applyBorder="1" applyAlignment="1">
      <alignment horizontal="left" vertical="center" wrapText="1" readingOrder="1"/>
    </xf>
    <xf numFmtId="0" fontId="91" fillId="0" borderId="62" xfId="0" applyFont="1" applyBorder="1" applyAlignment="1">
      <alignment horizontal="left" vertical="center" wrapText="1" readingOrder="1"/>
    </xf>
    <xf numFmtId="0" fontId="91" fillId="26" borderId="62" xfId="0" applyFont="1" applyFill="1" applyBorder="1" applyAlignment="1">
      <alignment horizontal="left" vertical="center" wrapText="1" readingOrder="1"/>
    </xf>
    <xf numFmtId="0" fontId="86" fillId="25" borderId="62" xfId="0" applyFont="1" applyFill="1" applyBorder="1" applyAlignment="1">
      <alignment horizontal="left" vertical="center" wrapText="1" readingOrder="1"/>
    </xf>
    <xf numFmtId="0" fontId="86" fillId="27" borderId="62" xfId="0" applyFont="1" applyFill="1" applyBorder="1" applyAlignment="1">
      <alignment horizontal="left" vertical="center" wrapText="1" readingOrder="1"/>
    </xf>
    <xf numFmtId="6" fontId="92" fillId="26" borderId="61" xfId="0" applyNumberFormat="1" applyFont="1" applyFill="1" applyBorder="1" applyAlignment="1">
      <alignment horizontal="right" wrapText="1" readingOrder="1"/>
    </xf>
    <xf numFmtId="6" fontId="92" fillId="0" borderId="62" xfId="0" applyNumberFormat="1" applyFont="1" applyBorder="1" applyAlignment="1">
      <alignment horizontal="right" wrapText="1" readingOrder="1"/>
    </xf>
    <xf numFmtId="6" fontId="92" fillId="26" borderId="62" xfId="0" applyNumberFormat="1" applyFont="1" applyFill="1" applyBorder="1" applyAlignment="1">
      <alignment horizontal="right" wrapText="1" readingOrder="1"/>
    </xf>
    <xf numFmtId="6" fontId="93" fillId="25" borderId="62" xfId="0" applyNumberFormat="1" applyFont="1" applyFill="1" applyBorder="1" applyAlignment="1">
      <alignment horizontal="right" wrapText="1" readingOrder="1"/>
    </xf>
    <xf numFmtId="6" fontId="93" fillId="27" borderId="62" xfId="0" applyNumberFormat="1" applyFont="1" applyFill="1" applyBorder="1" applyAlignment="1">
      <alignment horizontal="right" wrapText="1" readingOrder="1"/>
    </xf>
    <xf numFmtId="165" fontId="88" fillId="26" borderId="62" xfId="0" applyNumberFormat="1" applyFont="1" applyFill="1" applyBorder="1" applyAlignment="1">
      <alignment horizontal="center" wrapText="1" readingOrder="1"/>
    </xf>
    <xf numFmtId="165" fontId="88" fillId="0" borderId="62" xfId="0" applyNumberFormat="1" applyFont="1" applyBorder="1" applyAlignment="1">
      <alignment horizontal="center" wrapText="1" readingOrder="1"/>
    </xf>
    <xf numFmtId="2" fontId="0" fillId="5" borderId="0" xfId="0" applyNumberFormat="1" applyFill="1" applyAlignment="1">
      <alignment horizontal="center"/>
    </xf>
    <xf numFmtId="0" fontId="83" fillId="5" borderId="62" xfId="0" applyFont="1" applyFill="1" applyBorder="1" applyAlignment="1">
      <alignment horizontal="center" vertical="center" wrapText="1" readingOrder="1"/>
    </xf>
    <xf numFmtId="0" fontId="57" fillId="0" borderId="48" xfId="0" applyFont="1" applyBorder="1" applyAlignment="1">
      <alignment horizontal="left" vertical="top" readingOrder="1"/>
    </xf>
    <xf numFmtId="164" fontId="56" fillId="0" borderId="49" xfId="0" applyNumberFormat="1" applyFont="1" applyBorder="1" applyAlignment="1">
      <alignment horizontal="right" vertical="top"/>
    </xf>
    <xf numFmtId="3" fontId="56" fillId="0" borderId="49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40" fillId="11" borderId="46" xfId="0" applyFont="1" applyFill="1" applyBorder="1" applyAlignment="1">
      <alignment horizontal="center" vertical="top"/>
    </xf>
    <xf numFmtId="0" fontId="40" fillId="11" borderId="47" xfId="0" applyFont="1" applyFill="1" applyBorder="1" applyAlignment="1">
      <alignment horizontal="center" vertical="top"/>
    </xf>
    <xf numFmtId="0" fontId="71" fillId="12" borderId="48" xfId="0" applyFont="1" applyFill="1" applyBorder="1" applyAlignment="1">
      <alignment horizontal="left" vertical="top" readingOrder="1"/>
    </xf>
    <xf numFmtId="3" fontId="73" fillId="12" borderId="49" xfId="0" applyNumberFormat="1" applyFont="1" applyFill="1" applyBorder="1" applyAlignment="1">
      <alignment horizontal="center" vertical="top"/>
    </xf>
    <xf numFmtId="0" fontId="51" fillId="12" borderId="49" xfId="0" applyFont="1" applyFill="1" applyBorder="1" applyAlignment="1">
      <alignment horizontal="center" vertical="top"/>
    </xf>
    <xf numFmtId="0" fontId="71" fillId="0" borderId="48" xfId="0" applyFont="1" applyBorder="1" applyAlignment="1">
      <alignment horizontal="left" vertical="top" readingOrder="1"/>
    </xf>
    <xf numFmtId="164" fontId="70" fillId="0" borderId="49" xfId="0" applyNumberFormat="1" applyFont="1" applyBorder="1" applyAlignment="1">
      <alignment horizontal="right" vertical="top"/>
    </xf>
    <xf numFmtId="0" fontId="72" fillId="12" borderId="50" xfId="0" applyFont="1" applyFill="1" applyBorder="1" applyAlignment="1">
      <alignment horizontal="left" vertical="top" readingOrder="1"/>
    </xf>
    <xf numFmtId="6" fontId="56" fillId="0" borderId="49" xfId="0" applyNumberFormat="1" applyFont="1" applyBorder="1" applyAlignment="1">
      <alignment horizontal="center" vertical="top"/>
    </xf>
    <xf numFmtId="168" fontId="56" fillId="0" borderId="49" xfId="0" applyNumberFormat="1" applyFont="1" applyBorder="1" applyAlignment="1">
      <alignment horizontal="right" vertical="top"/>
    </xf>
    <xf numFmtId="0" fontId="57" fillId="11" borderId="51" xfId="0" applyFont="1" applyFill="1" applyBorder="1" applyAlignment="1">
      <alignment horizontal="left" vertical="top" readingOrder="1"/>
    </xf>
    <xf numFmtId="164" fontId="57" fillId="11" borderId="52" xfId="0" applyNumberFormat="1" applyFont="1" applyFill="1" applyBorder="1" applyAlignment="1">
      <alignment horizontal="right" vertical="top"/>
    </xf>
    <xf numFmtId="3" fontId="57" fillId="11" borderId="52" xfId="0" applyNumberFormat="1" applyFont="1" applyFill="1" applyBorder="1" applyAlignment="1">
      <alignment horizontal="center" vertical="top"/>
    </xf>
    <xf numFmtId="164" fontId="56" fillId="2" borderId="49" xfId="0" applyNumberFormat="1" applyFont="1" applyFill="1" applyBorder="1" applyAlignment="1">
      <alignment horizontal="right" vertical="top"/>
    </xf>
    <xf numFmtId="0" fontId="57" fillId="2" borderId="48" xfId="0" applyFont="1" applyFill="1" applyBorder="1" applyAlignment="1">
      <alignment horizontal="left" vertical="top" readingOrder="1"/>
    </xf>
    <xf numFmtId="0" fontId="0" fillId="5" borderId="56" xfId="0" applyFill="1" applyBorder="1" applyAlignment="1">
      <alignment horizontal="center" vertical="center" wrapText="1"/>
    </xf>
    <xf numFmtId="169" fontId="0" fillId="5" borderId="56" xfId="2" applyNumberFormat="1" applyFont="1" applyFill="1" applyBorder="1" applyAlignment="1">
      <alignment horizontal="center" vertical="center"/>
    </xf>
    <xf numFmtId="169" fontId="0" fillId="5" borderId="56" xfId="0" applyNumberFormat="1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168" fontId="0" fillId="5" borderId="56" xfId="0" applyNumberFormat="1" applyFill="1" applyBorder="1" applyAlignment="1">
      <alignment horizontal="center" vertical="center" wrapText="1"/>
    </xf>
    <xf numFmtId="0" fontId="13" fillId="28" borderId="0" xfId="0" applyFont="1" applyFill="1" applyAlignment="1">
      <alignment horizontal="center" wrapText="1"/>
    </xf>
    <xf numFmtId="0" fontId="0" fillId="0" borderId="0" xfId="0"/>
    <xf numFmtId="0" fontId="0" fillId="22" borderId="57" xfId="0" applyFill="1" applyBorder="1"/>
    <xf numFmtId="0" fontId="78" fillId="22" borderId="57" xfId="0" applyFont="1" applyFill="1" applyBorder="1" applyAlignment="1">
      <alignment horizontal="left" wrapText="1"/>
    </xf>
    <xf numFmtId="0" fontId="78" fillId="22" borderId="57" xfId="0" applyFont="1" applyFill="1" applyBorder="1" applyAlignment="1">
      <alignment horizontal="right" wrapText="1"/>
    </xf>
    <xf numFmtId="2" fontId="0" fillId="0" borderId="0" xfId="0" applyNumberFormat="1"/>
    <xf numFmtId="0" fontId="0" fillId="0" borderId="0" xfId="0" applyFont="1"/>
    <xf numFmtId="0" fontId="95" fillId="0" borderId="0" xfId="0" applyFont="1"/>
    <xf numFmtId="0" fontId="0" fillId="29" borderId="56" xfId="0" applyFill="1" applyBorder="1"/>
    <xf numFmtId="0" fontId="1" fillId="29" borderId="56" xfId="0" applyFont="1" applyFill="1" applyBorder="1"/>
    <xf numFmtId="3" fontId="95" fillId="0" borderId="0" xfId="0" applyNumberFormat="1" applyFont="1"/>
    <xf numFmtId="3" fontId="0" fillId="11" borderId="56" xfId="0" applyNumberFormat="1" applyFill="1" applyBorder="1"/>
    <xf numFmtId="2" fontId="95" fillId="0" borderId="0" xfId="0" applyNumberFormat="1" applyFont="1"/>
    <xf numFmtId="0" fontId="0" fillId="30" borderId="28" xfId="0" applyFill="1" applyBorder="1" applyProtection="1">
      <protection locked="0"/>
    </xf>
    <xf numFmtId="0" fontId="0" fillId="11" borderId="2" xfId="0" applyFill="1" applyBorder="1"/>
    <xf numFmtId="0" fontId="1" fillId="29" borderId="6" xfId="0" applyFont="1" applyFill="1" applyBorder="1"/>
    <xf numFmtId="3" fontId="0" fillId="2" borderId="0" xfId="0" applyNumberFormat="1" applyFill="1" applyBorder="1" applyProtection="1">
      <protection locked="0"/>
    </xf>
    <xf numFmtId="0" fontId="3" fillId="21" borderId="0" xfId="0" applyFont="1" applyFill="1"/>
    <xf numFmtId="170" fontId="97" fillId="21" borderId="2" xfId="69" applyNumberFormat="1" applyFont="1" applyFill="1" applyBorder="1" applyAlignment="1">
      <alignment horizontal="center" vertical="center" wrapText="1"/>
    </xf>
    <xf numFmtId="0" fontId="98" fillId="33" borderId="64" xfId="69" applyFont="1" applyFill="1" applyBorder="1" applyAlignment="1">
      <alignment vertical="center"/>
    </xf>
    <xf numFmtId="3" fontId="79" fillId="33" borderId="56" xfId="69" applyNumberFormat="1" applyFont="1" applyFill="1" applyBorder="1" applyAlignment="1">
      <alignment horizontal="right" vertical="center"/>
    </xf>
    <xf numFmtId="0" fontId="98" fillId="34" borderId="64" xfId="69" applyFont="1" applyFill="1" applyBorder="1" applyAlignment="1">
      <alignment vertical="center"/>
    </xf>
    <xf numFmtId="3" fontId="99" fillId="34" borderId="56" xfId="69" applyNumberFormat="1" applyFont="1" applyFill="1" applyBorder="1" applyAlignment="1">
      <alignment horizontal="right" vertical="center"/>
    </xf>
    <xf numFmtId="0" fontId="100" fillId="0" borderId="64" xfId="69" applyFont="1" applyBorder="1" applyAlignment="1">
      <alignment vertical="center"/>
    </xf>
    <xf numFmtId="3" fontId="79" fillId="0" borderId="56" xfId="69" applyNumberFormat="1" applyFont="1" applyBorder="1" applyAlignment="1" applyProtection="1">
      <alignment horizontal="right" vertical="center"/>
      <protection locked="0"/>
    </xf>
    <xf numFmtId="3" fontId="79" fillId="0" borderId="56" xfId="69" applyNumberFormat="1" applyFont="1" applyFill="1" applyBorder="1" applyAlignment="1" applyProtection="1">
      <alignment horizontal="right" vertical="center"/>
      <protection locked="0"/>
    </xf>
    <xf numFmtId="0" fontId="100" fillId="0" borderId="64" xfId="69" applyFont="1" applyBorder="1" applyAlignment="1">
      <alignment horizontal="left" vertical="center"/>
    </xf>
    <xf numFmtId="3" fontId="79" fillId="0" borderId="6" xfId="69" applyNumberFormat="1" applyFont="1" applyFill="1" applyBorder="1" applyAlignment="1" applyProtection="1">
      <alignment horizontal="right" vertical="center"/>
      <protection locked="0"/>
    </xf>
    <xf numFmtId="3" fontId="99" fillId="33" borderId="56" xfId="69" applyNumberFormat="1" applyFont="1" applyFill="1" applyBorder="1" applyAlignment="1">
      <alignment horizontal="right" vertical="center"/>
    </xf>
    <xf numFmtId="0" fontId="100" fillId="0" borderId="65" xfId="69" applyFont="1" applyFill="1" applyBorder="1" applyAlignment="1">
      <alignment vertical="center"/>
    </xf>
    <xf numFmtId="0" fontId="98" fillId="33" borderId="65" xfId="69" applyFont="1" applyFill="1" applyBorder="1" applyAlignment="1">
      <alignment vertical="center"/>
    </xf>
    <xf numFmtId="3" fontId="99" fillId="33" borderId="31" xfId="69" applyNumberFormat="1" applyFont="1" applyFill="1" applyBorder="1" applyAlignment="1">
      <alignment horizontal="right" vertical="center"/>
    </xf>
    <xf numFmtId="3" fontId="79" fillId="0" borderId="56" xfId="69" applyNumberFormat="1" applyFont="1" applyBorder="1" applyAlignment="1">
      <alignment horizontal="right" vertical="center"/>
    </xf>
    <xf numFmtId="0" fontId="100" fillId="0" borderId="64" xfId="69" applyFont="1" applyFill="1" applyBorder="1" applyAlignment="1">
      <alignment vertical="center"/>
    </xf>
    <xf numFmtId="0" fontId="98" fillId="0" borderId="64" xfId="69" applyFont="1" applyBorder="1" applyAlignment="1">
      <alignment vertical="center"/>
    </xf>
    <xf numFmtId="0" fontId="102" fillId="0" borderId="64" xfId="69" applyFont="1" applyBorder="1" applyAlignment="1">
      <alignment vertical="center"/>
    </xf>
    <xf numFmtId="3" fontId="79" fillId="0" borderId="56" xfId="69" applyNumberFormat="1" applyFont="1" applyFill="1" applyBorder="1" applyAlignment="1">
      <alignment horizontal="right" vertical="center"/>
    </xf>
    <xf numFmtId="0" fontId="1" fillId="35" borderId="0" xfId="0" applyFont="1" applyFill="1"/>
    <xf numFmtId="170" fontId="97" fillId="35" borderId="2" xfId="69" applyNumberFormat="1" applyFont="1" applyFill="1" applyBorder="1" applyAlignment="1">
      <alignment horizontal="center" vertical="center" wrapText="1"/>
    </xf>
    <xf numFmtId="0" fontId="1" fillId="36" borderId="0" xfId="0" applyFont="1" applyFill="1"/>
    <xf numFmtId="0" fontId="0" fillId="36" borderId="0" xfId="0" applyFill="1"/>
    <xf numFmtId="0" fontId="0" fillId="37" borderId="0" xfId="0" applyFill="1"/>
    <xf numFmtId="0" fontId="0" fillId="35" borderId="0" xfId="0" applyFill="1"/>
    <xf numFmtId="0" fontId="103" fillId="35" borderId="64" xfId="69" applyFont="1" applyFill="1" applyBorder="1" applyAlignment="1">
      <alignment vertical="center"/>
    </xf>
    <xf numFmtId="3" fontId="99" fillId="0" borderId="56" xfId="69" applyNumberFormat="1" applyFont="1" applyFill="1" applyBorder="1" applyAlignment="1">
      <alignment horizontal="right" vertical="center"/>
    </xf>
    <xf numFmtId="3" fontId="99" fillId="13" borderId="56" xfId="69" applyNumberFormat="1" applyFont="1" applyFill="1" applyBorder="1" applyAlignment="1">
      <alignment horizontal="right" vertical="center"/>
    </xf>
    <xf numFmtId="0" fontId="98" fillId="35" borderId="0" xfId="69" applyFont="1" applyFill="1" applyBorder="1" applyAlignment="1">
      <alignment vertical="center"/>
    </xf>
    <xf numFmtId="3" fontId="0" fillId="35" borderId="0" xfId="0" applyNumberFormat="1" applyFill="1"/>
    <xf numFmtId="0" fontId="104" fillId="38" borderId="0" xfId="0" applyFont="1" applyFill="1"/>
    <xf numFmtId="0" fontId="0" fillId="38" borderId="0" xfId="0" applyFill="1"/>
    <xf numFmtId="170" fontId="107" fillId="38" borderId="2" xfId="69" applyNumberFormat="1" applyFont="1" applyFill="1" applyBorder="1" applyAlignment="1">
      <alignment horizontal="center" vertical="center" wrapText="1"/>
    </xf>
    <xf numFmtId="170" fontId="109" fillId="38" borderId="56" xfId="69" applyNumberFormat="1" applyFont="1" applyFill="1" applyBorder="1" applyAlignment="1">
      <alignment horizontal="center" vertical="center" wrapText="1"/>
    </xf>
    <xf numFmtId="0" fontId="99" fillId="33" borderId="63" xfId="69" applyFont="1" applyFill="1" applyBorder="1" applyAlignment="1">
      <alignment vertical="center"/>
    </xf>
    <xf numFmtId="171" fontId="79" fillId="33" borderId="56" xfId="68" applyNumberFormat="1" applyFont="1" applyFill="1" applyBorder="1" applyAlignment="1">
      <alignment horizontal="right" vertical="center"/>
    </xf>
    <xf numFmtId="0" fontId="100" fillId="39" borderId="63" xfId="69" applyFont="1" applyFill="1" applyBorder="1" applyAlignment="1">
      <alignment vertical="center"/>
    </xf>
    <xf numFmtId="3" fontId="100" fillId="39" borderId="56" xfId="69" applyNumberFormat="1" applyFont="1" applyFill="1" applyBorder="1" applyAlignment="1">
      <alignment horizontal="left" vertical="center"/>
    </xf>
    <xf numFmtId="171" fontId="98" fillId="39" borderId="56" xfId="68" applyNumberFormat="1" applyFont="1" applyFill="1" applyBorder="1" applyAlignment="1">
      <alignment horizontal="right" vertical="center"/>
    </xf>
    <xf numFmtId="0" fontId="100" fillId="0" borderId="63" xfId="69" applyFont="1" applyFill="1" applyBorder="1" applyAlignment="1">
      <alignment vertical="center"/>
    </xf>
    <xf numFmtId="3" fontId="100" fillId="0" borderId="56" xfId="69" applyNumberFormat="1" applyFont="1" applyFill="1" applyBorder="1" applyAlignment="1">
      <alignment horizontal="right" vertical="center"/>
    </xf>
    <xf numFmtId="171" fontId="100" fillId="0" borderId="56" xfId="68" applyNumberFormat="1" applyFont="1" applyFill="1" applyBorder="1" applyAlignment="1">
      <alignment horizontal="right" vertical="center"/>
    </xf>
    <xf numFmtId="0" fontId="99" fillId="13" borderId="63" xfId="69" applyFont="1" applyFill="1" applyBorder="1" applyAlignment="1">
      <alignment vertical="center"/>
    </xf>
    <xf numFmtId="171" fontId="100" fillId="13" borderId="56" xfId="68" applyNumberFormat="1" applyFont="1" applyFill="1" applyBorder="1" applyAlignment="1">
      <alignment horizontal="right" vertical="center"/>
    </xf>
    <xf numFmtId="171" fontId="100" fillId="39" borderId="56" xfId="68" applyNumberFormat="1" applyFont="1" applyFill="1" applyBorder="1" applyAlignment="1">
      <alignment horizontal="right" vertical="center"/>
    </xf>
    <xf numFmtId="0" fontId="100" fillId="0" borderId="63" xfId="69" applyFont="1" applyFill="1" applyBorder="1" applyAlignment="1">
      <alignment horizontal="left" vertical="center"/>
    </xf>
    <xf numFmtId="0" fontId="98" fillId="38" borderId="63" xfId="69" applyFont="1" applyFill="1" applyBorder="1" applyAlignment="1">
      <alignment vertical="center"/>
    </xf>
    <xf numFmtId="3" fontId="98" fillId="38" borderId="56" xfId="69" applyNumberFormat="1" applyFont="1" applyFill="1" applyBorder="1" applyAlignment="1">
      <alignment horizontal="right" vertical="center"/>
    </xf>
    <xf numFmtId="171" fontId="98" fillId="38" borderId="56" xfId="68" applyNumberFormat="1" applyFont="1" applyFill="1" applyBorder="1" applyAlignment="1">
      <alignment horizontal="right" vertical="center"/>
    </xf>
    <xf numFmtId="171" fontId="98" fillId="0" borderId="56" xfId="68" applyNumberFormat="1" applyFont="1" applyFill="1" applyBorder="1" applyAlignment="1">
      <alignment horizontal="right" vertical="center"/>
    </xf>
    <xf numFmtId="0" fontId="100" fillId="39" borderId="64" xfId="69" applyFont="1" applyFill="1" applyBorder="1" applyAlignment="1">
      <alignment vertical="center"/>
    </xf>
    <xf numFmtId="0" fontId="105" fillId="36" borderId="63" xfId="69" applyFont="1" applyFill="1" applyBorder="1" applyAlignment="1">
      <alignment horizontal="left" vertical="center" wrapText="1"/>
    </xf>
    <xf numFmtId="3" fontId="112" fillId="36" borderId="56" xfId="69" applyNumberFormat="1" applyFont="1" applyFill="1" applyBorder="1" applyAlignment="1">
      <alignment horizontal="left" vertical="center" wrapText="1"/>
    </xf>
    <xf numFmtId="171" fontId="108" fillId="36" borderId="56" xfId="68" applyNumberFormat="1" applyFont="1" applyFill="1" applyBorder="1" applyAlignment="1">
      <alignment horizontal="right" vertical="center" wrapText="1"/>
    </xf>
    <xf numFmtId="3" fontId="100" fillId="0" borderId="56" xfId="69" applyNumberFormat="1" applyFont="1" applyFill="1" applyBorder="1" applyAlignment="1">
      <alignment horizontal="right" vertical="center" wrapText="1"/>
    </xf>
    <xf numFmtId="3" fontId="113" fillId="0" borderId="56" xfId="0" applyNumberFormat="1" applyFont="1" applyBorder="1"/>
    <xf numFmtId="171" fontId="0" fillId="0" borderId="56" xfId="68" applyNumberFormat="1" applyFont="1" applyBorder="1" applyAlignment="1">
      <alignment horizontal="right"/>
    </xf>
    <xf numFmtId="3" fontId="114" fillId="36" borderId="56" xfId="69" applyNumberFormat="1" applyFont="1" applyFill="1" applyBorder="1" applyAlignment="1">
      <alignment horizontal="left" vertical="center" wrapText="1"/>
    </xf>
    <xf numFmtId="0" fontId="98" fillId="0" borderId="63" xfId="69" applyFont="1" applyFill="1" applyBorder="1" applyAlignment="1">
      <alignment horizontal="left" vertical="center" wrapText="1"/>
    </xf>
    <xf numFmtId="171" fontId="100" fillId="0" borderId="56" xfId="68" applyNumberFormat="1" applyFont="1" applyFill="1" applyBorder="1" applyAlignment="1">
      <alignment horizontal="right" vertical="center" wrapText="1"/>
    </xf>
    <xf numFmtId="0" fontId="100" fillId="0" borderId="63" xfId="69" applyFont="1" applyFill="1" applyBorder="1" applyAlignment="1">
      <alignment horizontal="left" vertical="center" wrapText="1"/>
    </xf>
    <xf numFmtId="3" fontId="114" fillId="0" borderId="56" xfId="69" applyNumberFormat="1" applyFont="1" applyFill="1" applyBorder="1" applyAlignment="1">
      <alignment horizontal="left" vertical="center" wrapText="1"/>
    </xf>
    <xf numFmtId="171" fontId="108" fillId="0" borderId="56" xfId="68" applyNumberFormat="1" applyFont="1" applyFill="1" applyBorder="1" applyAlignment="1">
      <alignment horizontal="right" vertical="center" wrapText="1"/>
    </xf>
    <xf numFmtId="171" fontId="114" fillId="34" borderId="56" xfId="68" applyNumberFormat="1" applyFont="1" applyFill="1" applyBorder="1" applyAlignment="1">
      <alignment horizontal="right" vertical="center"/>
    </xf>
    <xf numFmtId="3" fontId="98" fillId="38" borderId="56" xfId="69" applyNumberFormat="1" applyFont="1" applyFill="1" applyBorder="1" applyAlignment="1">
      <alignment horizontal="left" vertical="center" wrapText="1"/>
    </xf>
    <xf numFmtId="171" fontId="100" fillId="38" borderId="56" xfId="68" applyNumberFormat="1" applyFont="1" applyFill="1" applyBorder="1" applyAlignment="1">
      <alignment horizontal="right" vertical="center"/>
    </xf>
    <xf numFmtId="3" fontId="0" fillId="0" borderId="0" xfId="0" applyNumberFormat="1" applyFont="1"/>
    <xf numFmtId="0" fontId="100" fillId="35" borderId="0" xfId="69" applyFont="1" applyFill="1" applyBorder="1" applyAlignment="1">
      <alignment vertical="center"/>
    </xf>
    <xf numFmtId="0" fontId="11" fillId="23" borderId="0" xfId="0" applyFont="1" applyFill="1" applyAlignment="1">
      <alignment horizontal="left"/>
    </xf>
    <xf numFmtId="0" fontId="11" fillId="23" borderId="0" xfId="0" applyFont="1" applyFill="1"/>
    <xf numFmtId="0" fontId="11" fillId="23" borderId="0" xfId="0" applyFont="1" applyFill="1" applyAlignment="1">
      <alignment horizontal="right"/>
    </xf>
    <xf numFmtId="0" fontId="115" fillId="2" borderId="28" xfId="0" applyFont="1" applyFill="1" applyBorder="1"/>
    <xf numFmtId="0" fontId="0" fillId="2" borderId="29" xfId="0" applyFill="1" applyBorder="1" applyAlignment="1">
      <alignment horizontal="left"/>
    </xf>
    <xf numFmtId="0" fontId="0" fillId="0" borderId="29" xfId="0" applyFill="1" applyBorder="1"/>
    <xf numFmtId="6" fontId="116" fillId="0" borderId="0" xfId="0" applyNumberFormat="1" applyFont="1" applyFill="1" applyAlignment="1">
      <alignment horizontal="right"/>
    </xf>
    <xf numFmtId="0" fontId="19" fillId="0" borderId="0" xfId="0" applyFont="1" applyFill="1"/>
    <xf numFmtId="0" fontId="117" fillId="23" borderId="56" xfId="0" applyFont="1" applyFill="1" applyBorder="1" applyAlignment="1">
      <alignment horizontal="center" vertical="center" wrapText="1"/>
    </xf>
    <xf numFmtId="0" fontId="117" fillId="23" borderId="56" xfId="0" applyFont="1" applyFill="1" applyBorder="1" applyAlignment="1">
      <alignment horizontal="left" vertical="center" wrapText="1"/>
    </xf>
    <xf numFmtId="0" fontId="118" fillId="29" borderId="56" xfId="0" applyFont="1" applyFill="1" applyBorder="1" applyAlignment="1">
      <alignment vertical="center" wrapText="1"/>
    </xf>
    <xf numFmtId="0" fontId="0" fillId="31" borderId="56" xfId="0" applyFill="1" applyBorder="1" applyAlignment="1">
      <alignment horizontal="left" vertical="center" wrapText="1"/>
    </xf>
    <xf numFmtId="0" fontId="0" fillId="24" borderId="5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center" vertical="top" wrapText="1"/>
    </xf>
    <xf numFmtId="6" fontId="119" fillId="2" borderId="2" xfId="0" applyNumberFormat="1" applyFont="1" applyFill="1" applyBorder="1" applyAlignment="1">
      <alignment vertical="top" wrapText="1"/>
    </xf>
    <xf numFmtId="4" fontId="0" fillId="0" borderId="0" xfId="0" applyNumberFormat="1" applyFill="1"/>
    <xf numFmtId="0" fontId="118" fillId="29" borderId="28" xfId="0" applyFont="1" applyFill="1" applyBorder="1" applyAlignment="1">
      <alignment vertical="center" wrapText="1"/>
    </xf>
    <xf numFmtId="0" fontId="120" fillId="23" borderId="56" xfId="0" applyFont="1" applyFill="1" applyBorder="1" applyAlignment="1">
      <alignment horizontal="center" vertical="center" wrapText="1"/>
    </xf>
    <xf numFmtId="0" fontId="0" fillId="31" borderId="56" xfId="0" applyFill="1" applyBorder="1" applyAlignment="1">
      <alignment horizontal="left" vertical="center"/>
    </xf>
    <xf numFmtId="1" fontId="8" fillId="29" borderId="56" xfId="0" applyNumberFormat="1" applyFont="1" applyFill="1" applyBorder="1" applyAlignment="1">
      <alignment horizontal="center" vertical="center" wrapText="1"/>
    </xf>
    <xf numFmtId="0" fontId="0" fillId="40" borderId="56" xfId="0" applyFill="1" applyBorder="1" applyAlignment="1">
      <alignment vertical="center"/>
    </xf>
    <xf numFmtId="6" fontId="119" fillId="2" borderId="0" xfId="0" applyNumberFormat="1" applyFont="1" applyFill="1" applyBorder="1" applyAlignment="1">
      <alignment vertical="top" wrapText="1"/>
    </xf>
    <xf numFmtId="0" fontId="117" fillId="23" borderId="56" xfId="0" applyFont="1" applyFill="1" applyBorder="1" applyAlignment="1">
      <alignment horizontal="center" vertical="top" wrapText="1"/>
    </xf>
    <xf numFmtId="0" fontId="117" fillId="23" borderId="56" xfId="0" applyFont="1" applyFill="1" applyBorder="1" applyAlignment="1">
      <alignment horizontal="left" vertical="top" wrapText="1"/>
    </xf>
    <xf numFmtId="0" fontId="120" fillId="23" borderId="63" xfId="0" applyFont="1" applyFill="1" applyBorder="1" applyAlignment="1">
      <alignment horizontal="center" vertical="center" wrapText="1"/>
    </xf>
    <xf numFmtId="0" fontId="0" fillId="24" borderId="56" xfId="0" applyFill="1" applyBorder="1" applyAlignment="1">
      <alignment horizontal="center" vertical="center"/>
    </xf>
    <xf numFmtId="6" fontId="119" fillId="0" borderId="56" xfId="0" applyNumberFormat="1" applyFont="1" applyFill="1" applyBorder="1" applyAlignment="1">
      <alignment horizontal="center" vertical="center" wrapText="1"/>
    </xf>
    <xf numFmtId="0" fontId="121" fillId="0" borderId="0" xfId="70"/>
    <xf numFmtId="0" fontId="2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vertical="top"/>
    </xf>
    <xf numFmtId="0" fontId="2" fillId="24" borderId="56" xfId="0" applyFont="1" applyFill="1" applyBorder="1" applyAlignment="1">
      <alignment horizontal="left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left" vertical="top"/>
    </xf>
    <xf numFmtId="0" fontId="0" fillId="24" borderId="56" xfId="0" applyFill="1" applyBorder="1" applyAlignment="1">
      <alignment horizontal="left" vertical="center"/>
    </xf>
    <xf numFmtId="6" fontId="0" fillId="40" borderId="56" xfId="0" applyNumberFormat="1" applyFont="1" applyFill="1" applyBorder="1" applyAlignment="1">
      <alignment vertical="center" wrapText="1"/>
    </xf>
    <xf numFmtId="6" fontId="122" fillId="0" borderId="0" xfId="0" applyNumberFormat="1" applyFont="1"/>
    <xf numFmtId="0" fontId="117" fillId="23" borderId="6" xfId="0" applyFont="1" applyFill="1" applyBorder="1" applyAlignment="1">
      <alignment horizontal="center" vertical="top" wrapText="1"/>
    </xf>
    <xf numFmtId="0" fontId="1" fillId="0" borderId="56" xfId="0" applyFont="1" applyBorder="1"/>
    <xf numFmtId="0" fontId="0" fillId="2" borderId="56" xfId="0" applyFont="1" applyFill="1" applyBorder="1" applyAlignment="1">
      <alignment vertical="center" wrapText="1"/>
    </xf>
    <xf numFmtId="0" fontId="0" fillId="0" borderId="28" xfId="0" applyFont="1" applyBorder="1" applyAlignment="1">
      <alignment vertical="center"/>
    </xf>
    <xf numFmtId="0" fontId="123" fillId="0" borderId="2" xfId="0" applyFont="1" applyBorder="1" applyAlignment="1">
      <alignment horizontal="left" vertical="center" wrapText="1"/>
    </xf>
    <xf numFmtId="0" fontId="123" fillId="0" borderId="56" xfId="0" applyFont="1" applyBorder="1" applyAlignment="1">
      <alignment horizontal="left" vertical="center" wrapText="1"/>
    </xf>
    <xf numFmtId="0" fontId="118" fillId="29" borderId="5" xfId="0" applyFont="1" applyFill="1" applyBorder="1" applyAlignment="1">
      <alignment vertical="center" wrapText="1"/>
    </xf>
    <xf numFmtId="0" fontId="0" fillId="24" borderId="6" xfId="0" applyFill="1" applyBorder="1" applyAlignment="1">
      <alignment horizontal="left" vertical="center"/>
    </xf>
    <xf numFmtId="0" fontId="118" fillId="29" borderId="66" xfId="0" applyFont="1" applyFill="1" applyBorder="1" applyAlignment="1">
      <alignment vertical="center" wrapText="1"/>
    </xf>
    <xf numFmtId="0" fontId="0" fillId="24" borderId="67" xfId="0" applyFill="1" applyBorder="1" applyAlignment="1">
      <alignment horizontal="left" vertical="center"/>
    </xf>
    <xf numFmtId="0" fontId="118" fillId="29" borderId="12" xfId="0" applyFont="1" applyFill="1" applyBorder="1" applyAlignment="1">
      <alignment vertical="center" wrapText="1"/>
    </xf>
    <xf numFmtId="0" fontId="0" fillId="24" borderId="31" xfId="0" applyFill="1" applyBorder="1" applyAlignment="1">
      <alignment horizontal="left" vertical="center" wrapText="1"/>
    </xf>
    <xf numFmtId="0" fontId="0" fillId="2" borderId="28" xfId="0" applyFont="1" applyFill="1" applyBorder="1" applyAlignment="1">
      <alignment vertical="center" wrapText="1"/>
    </xf>
    <xf numFmtId="0" fontId="0" fillId="0" borderId="56" xfId="0" applyFont="1" applyBorder="1" applyAlignment="1">
      <alignment vertical="center"/>
    </xf>
    <xf numFmtId="0" fontId="118" fillId="29" borderId="68" xfId="0" applyFont="1" applyFill="1" applyBorder="1" applyAlignment="1">
      <alignment vertical="center" wrapText="1"/>
    </xf>
    <xf numFmtId="0" fontId="0" fillId="24" borderId="68" xfId="0" applyFill="1" applyBorder="1" applyAlignment="1">
      <alignment horizontal="left" vertical="center" wrapText="1"/>
    </xf>
    <xf numFmtId="0" fontId="0" fillId="0" borderId="69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118" fillId="29" borderId="70" xfId="0" applyFont="1" applyFill="1" applyBorder="1" applyAlignment="1">
      <alignment vertical="center" wrapText="1"/>
    </xf>
    <xf numFmtId="0" fontId="0" fillId="24" borderId="71" xfId="0" applyFill="1" applyBorder="1" applyAlignment="1">
      <alignment horizontal="left" vertical="center"/>
    </xf>
    <xf numFmtId="0" fontId="0" fillId="2" borderId="70" xfId="0" applyFont="1" applyFill="1" applyBorder="1" applyAlignment="1">
      <alignment vertical="center" wrapText="1"/>
    </xf>
    <xf numFmtId="0" fontId="0" fillId="0" borderId="71" xfId="0" applyFont="1" applyBorder="1" applyAlignment="1">
      <alignment vertical="center"/>
    </xf>
    <xf numFmtId="0" fontId="0" fillId="24" borderId="71" xfId="0" applyFill="1" applyBorder="1" applyAlignment="1">
      <alignment horizontal="left" vertical="center" wrapText="1"/>
    </xf>
    <xf numFmtId="0" fontId="0" fillId="24" borderId="31" xfId="0" applyFill="1" applyBorder="1" applyAlignment="1">
      <alignment horizontal="left" vertical="center"/>
    </xf>
    <xf numFmtId="0" fontId="0" fillId="0" borderId="30" xfId="0" applyFont="1" applyBorder="1" applyAlignment="1">
      <alignment vertical="center"/>
    </xf>
    <xf numFmtId="0" fontId="118" fillId="29" borderId="69" xfId="0" applyFont="1" applyFill="1" applyBorder="1" applyAlignment="1">
      <alignment vertical="center" wrapText="1"/>
    </xf>
    <xf numFmtId="0" fontId="0" fillId="24" borderId="68" xfId="0" applyFill="1" applyBorder="1" applyAlignment="1">
      <alignment horizontal="left" vertical="center"/>
    </xf>
    <xf numFmtId="0" fontId="118" fillId="29" borderId="63" xfId="0" applyFont="1" applyFill="1" applyBorder="1" applyAlignment="1">
      <alignment vertical="center" wrapText="1"/>
    </xf>
    <xf numFmtId="0" fontId="0" fillId="24" borderId="30" xfId="0" applyFill="1" applyBorder="1" applyAlignment="1">
      <alignment horizontal="left" vertical="center"/>
    </xf>
    <xf numFmtId="0" fontId="118" fillId="29" borderId="69" xfId="0" applyFont="1" applyFill="1" applyBorder="1" applyAlignment="1">
      <alignment horizontal="left" vertical="center" wrapText="1"/>
    </xf>
    <xf numFmtId="0" fontId="0" fillId="0" borderId="68" xfId="0" applyFont="1" applyBorder="1" applyAlignment="1">
      <alignment horizontal="left" vertical="center"/>
    </xf>
    <xf numFmtId="0" fontId="0" fillId="40" borderId="56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/>
    </xf>
    <xf numFmtId="6" fontId="124" fillId="0" borderId="0" xfId="0" applyNumberFormat="1" applyFont="1" applyFill="1" applyBorder="1" applyAlignment="1">
      <alignment vertical="top" wrapText="1"/>
    </xf>
    <xf numFmtId="0" fontId="0" fillId="0" borderId="29" xfId="0" applyBorder="1" applyAlignment="1">
      <alignment horizontal="left"/>
    </xf>
    <xf numFmtId="0" fontId="3" fillId="0" borderId="2" xfId="0" applyFont="1" applyBorder="1"/>
    <xf numFmtId="0" fontId="2" fillId="29" borderId="56" xfId="0" applyFont="1" applyFill="1" applyBorder="1" applyAlignment="1">
      <alignment vertical="center" wrapText="1"/>
    </xf>
    <xf numFmtId="0" fontId="0" fillId="31" borderId="56" xfId="0" applyFill="1" applyBorder="1" applyAlignment="1">
      <alignment vertical="top"/>
    </xf>
    <xf numFmtId="4" fontId="0" fillId="0" borderId="0" xfId="0" applyNumberFormat="1"/>
    <xf numFmtId="4" fontId="125" fillId="0" borderId="0" xfId="0" applyNumberFormat="1" applyFont="1"/>
    <xf numFmtId="0" fontId="0" fillId="0" borderId="0" xfId="0" applyAlignment="1">
      <alignment horizontal="left"/>
    </xf>
    <xf numFmtId="0" fontId="7" fillId="4" borderId="56" xfId="0" applyFont="1" applyFill="1" applyBorder="1" applyAlignment="1">
      <alignment horizontal="center" vertical="top" wrapText="1"/>
    </xf>
    <xf numFmtId="0" fontId="126" fillId="0" borderId="56" xfId="0" applyFont="1" applyBorder="1"/>
    <xf numFmtId="3" fontId="126" fillId="41" borderId="56" xfId="0" applyNumberFormat="1" applyFont="1" applyFill="1" applyBorder="1"/>
    <xf numFmtId="3" fontId="126" fillId="41" borderId="56" xfId="0" applyNumberFormat="1" applyFont="1" applyFill="1" applyBorder="1" applyAlignment="1">
      <alignment horizontal="right"/>
    </xf>
    <xf numFmtId="6" fontId="1" fillId="29" borderId="56" xfId="0" applyNumberFormat="1" applyFont="1" applyFill="1" applyBorder="1"/>
    <xf numFmtId="0" fontId="127" fillId="0" borderId="0" xfId="0" applyFont="1"/>
    <xf numFmtId="0" fontId="128" fillId="42" borderId="56" xfId="0" applyFont="1" applyFill="1" applyBorder="1" applyAlignment="1">
      <alignment vertical="top" wrapText="1"/>
    </xf>
    <xf numFmtId="0" fontId="129" fillId="42" borderId="56" xfId="0" applyFont="1" applyFill="1" applyBorder="1" applyAlignment="1">
      <alignment horizontal="center" vertical="top" wrapText="1"/>
    </xf>
    <xf numFmtId="0" fontId="127" fillId="2" borderId="56" xfId="0" applyFont="1" applyFill="1" applyBorder="1" applyAlignment="1">
      <alignment horizontal="center" vertical="top" wrapText="1"/>
    </xf>
    <xf numFmtId="6" fontId="130" fillId="0" borderId="56" xfId="0" applyNumberFormat="1" applyFont="1" applyFill="1" applyBorder="1" applyAlignment="1">
      <alignment vertical="center" wrapText="1"/>
    </xf>
    <xf numFmtId="0" fontId="131" fillId="0" borderId="0" xfId="0" applyFont="1" applyAlignment="1">
      <alignment horizontal="center"/>
    </xf>
    <xf numFmtId="6" fontId="130" fillId="0" borderId="56" xfId="0" applyNumberFormat="1" applyFont="1" applyFill="1" applyBorder="1"/>
    <xf numFmtId="0" fontId="131" fillId="0" borderId="0" xfId="0" applyFont="1"/>
    <xf numFmtId="3" fontId="130" fillId="0" borderId="56" xfId="0" applyNumberFormat="1" applyFont="1" applyFill="1" applyBorder="1" applyAlignment="1">
      <alignment vertical="center" wrapText="1"/>
    </xf>
    <xf numFmtId="0" fontId="127" fillId="0" borderId="0" xfId="0" applyFont="1" applyAlignment="1">
      <alignment horizontal="center"/>
    </xf>
    <xf numFmtId="173" fontId="130" fillId="5" borderId="56" xfId="0" applyNumberFormat="1" applyFont="1" applyFill="1" applyBorder="1" applyAlignment="1">
      <alignment vertical="center" wrapText="1"/>
    </xf>
    <xf numFmtId="2" fontId="127" fillId="0" borderId="0" xfId="0" applyNumberFormat="1" applyFont="1"/>
    <xf numFmtId="6" fontId="127" fillId="0" borderId="0" xfId="0" applyNumberFormat="1" applyFont="1"/>
    <xf numFmtId="2" fontId="131" fillId="0" borderId="0" xfId="0" applyNumberFormat="1" applyFont="1"/>
    <xf numFmtId="0" fontId="130" fillId="0" borderId="0" xfId="0" applyFont="1"/>
    <xf numFmtId="0" fontId="0" fillId="2" borderId="56" xfId="0" applyFill="1" applyBorder="1" applyAlignment="1">
      <alignment vertical="top" wrapText="1"/>
    </xf>
    <xf numFmtId="0" fontId="0" fillId="2" borderId="56" xfId="0" applyFill="1" applyBorder="1" applyAlignment="1">
      <alignment horizontal="center" vertical="top" wrapText="1"/>
    </xf>
    <xf numFmtId="3" fontId="119" fillId="0" borderId="56" xfId="0" applyNumberFormat="1" applyFont="1" applyFill="1" applyBorder="1" applyAlignment="1">
      <alignment vertical="center" wrapText="1"/>
    </xf>
    <xf numFmtId="0" fontId="134" fillId="0" borderId="0" xfId="0" applyFont="1"/>
    <xf numFmtId="6" fontId="119" fillId="0" borderId="0" xfId="0" applyNumberFormat="1" applyFont="1" applyFill="1" applyBorder="1" applyAlignment="1">
      <alignment vertical="center"/>
    </xf>
    <xf numFmtId="0" fontId="9" fillId="0" borderId="0" xfId="0" applyFont="1"/>
    <xf numFmtId="3" fontId="9" fillId="2" borderId="56" xfId="0" applyNumberFormat="1" applyFont="1" applyFill="1" applyBorder="1" applyAlignment="1">
      <alignment horizontal="center" vertical="center" wrapText="1"/>
    </xf>
    <xf numFmtId="0" fontId="127" fillId="0" borderId="0" xfId="0" applyFont="1" applyFill="1" applyBorder="1"/>
    <xf numFmtId="0" fontId="132" fillId="0" borderId="0" xfId="0" applyFont="1" applyFill="1" applyBorder="1" applyAlignment="1">
      <alignment vertical="top" wrapText="1"/>
    </xf>
    <xf numFmtId="0" fontId="127" fillId="2" borderId="0" xfId="0" applyFont="1" applyFill="1"/>
    <xf numFmtId="174" fontId="135" fillId="0" borderId="63" xfId="68" applyNumberFormat="1" applyFont="1" applyFill="1" applyBorder="1" applyAlignment="1" applyProtection="1">
      <alignment vertical="center"/>
      <protection locked="0"/>
    </xf>
    <xf numFmtId="174" fontId="137" fillId="0" borderId="63" xfId="71" applyNumberFormat="1" applyFont="1" applyFill="1" applyBorder="1" applyAlignment="1" applyProtection="1">
      <alignment vertical="center"/>
      <protection locked="0"/>
    </xf>
    <xf numFmtId="0" fontId="138" fillId="0" borderId="64" xfId="69" applyFont="1" applyBorder="1" applyAlignment="1">
      <alignment vertical="center"/>
    </xf>
    <xf numFmtId="0" fontId="100" fillId="2" borderId="64" xfId="69" applyFont="1" applyFill="1" applyBorder="1" applyAlignment="1">
      <alignment vertical="center"/>
    </xf>
    <xf numFmtId="3" fontId="79" fillId="13" borderId="56" xfId="69" applyNumberFormat="1" applyFont="1" applyFill="1" applyBorder="1" applyAlignment="1" applyProtection="1">
      <alignment horizontal="right" vertical="center"/>
      <protection locked="0"/>
    </xf>
    <xf numFmtId="0" fontId="99" fillId="38" borderId="63" xfId="69" applyFont="1" applyFill="1" applyBorder="1" applyAlignment="1">
      <alignment vertical="center"/>
    </xf>
    <xf numFmtId="3" fontId="99" fillId="38" borderId="56" xfId="69" applyNumberFormat="1" applyFont="1" applyFill="1" applyBorder="1" applyAlignment="1">
      <alignment horizontal="right" vertical="center"/>
    </xf>
    <xf numFmtId="171" fontId="99" fillId="38" borderId="56" xfId="68" applyNumberFormat="1" applyFont="1" applyFill="1" applyBorder="1" applyAlignment="1">
      <alignment horizontal="right" vertical="center"/>
    </xf>
    <xf numFmtId="3" fontId="100" fillId="39" borderId="56" xfId="69" applyNumberFormat="1" applyFont="1" applyFill="1" applyBorder="1" applyAlignment="1">
      <alignment horizontal="right" vertical="center"/>
    </xf>
    <xf numFmtId="0" fontId="100" fillId="0" borderId="0" xfId="69" applyFont="1" applyFill="1" applyBorder="1" applyAlignment="1">
      <alignment vertical="center"/>
    </xf>
    <xf numFmtId="2" fontId="0" fillId="0" borderId="56" xfId="0" applyNumberFormat="1" applyBorder="1" applyAlignment="1">
      <alignment horizontal="center"/>
    </xf>
    <xf numFmtId="6" fontId="130" fillId="0" borderId="0" xfId="0" applyNumberFormat="1" applyFont="1" applyFill="1" applyBorder="1" applyAlignment="1">
      <alignment vertical="center" wrapText="1"/>
    </xf>
    <xf numFmtId="14" fontId="76" fillId="19" borderId="57" xfId="0" applyNumberFormat="1" applyFont="1" applyFill="1" applyBorder="1" applyAlignment="1">
      <alignment horizontal="right" vertical="top"/>
    </xf>
    <xf numFmtId="14" fontId="76" fillId="20" borderId="57" xfId="0" applyNumberFormat="1" applyFont="1" applyFill="1" applyBorder="1" applyAlignment="1">
      <alignment horizontal="right" vertical="top"/>
    </xf>
    <xf numFmtId="0" fontId="77" fillId="19" borderId="57" xfId="0" applyFont="1" applyFill="1" applyBorder="1" applyAlignment="1">
      <alignment horizontal="left" vertical="top" wrapText="1"/>
    </xf>
    <xf numFmtId="0" fontId="0" fillId="2" borderId="57" xfId="0" applyFill="1" applyBorder="1"/>
    <xf numFmtId="0" fontId="78" fillId="2" borderId="57" xfId="0" applyFont="1" applyFill="1" applyBorder="1" applyAlignment="1">
      <alignment horizontal="left" wrapText="1"/>
    </xf>
    <xf numFmtId="0" fontId="78" fillId="2" borderId="57" xfId="0" applyFont="1" applyFill="1" applyBorder="1" applyAlignment="1">
      <alignment horizontal="right" wrapText="1"/>
    </xf>
    <xf numFmtId="3" fontId="82" fillId="2" borderId="57" xfId="0" applyNumberFormat="1" applyFont="1" applyFill="1" applyBorder="1" applyAlignment="1">
      <alignment horizontal="right" wrapText="1"/>
    </xf>
    <xf numFmtId="165" fontId="139" fillId="2" borderId="57" xfId="0" applyNumberFormat="1" applyFont="1" applyFill="1" applyBorder="1" applyAlignment="1">
      <alignment horizontal="right" wrapText="1"/>
    </xf>
    <xf numFmtId="2" fontId="139" fillId="2" borderId="57" xfId="0" applyNumberFormat="1" applyFont="1" applyFill="1" applyBorder="1" applyAlignment="1">
      <alignment horizontal="right" wrapText="1"/>
    </xf>
    <xf numFmtId="0" fontId="3" fillId="21" borderId="0" xfId="0" applyFont="1" applyFill="1" applyAlignment="1">
      <alignment vertical="center"/>
    </xf>
    <xf numFmtId="0" fontId="140" fillId="42" borderId="56" xfId="0" applyFont="1" applyFill="1" applyBorder="1" applyAlignment="1">
      <alignment horizontal="center" vertical="top" wrapText="1"/>
    </xf>
    <xf numFmtId="175" fontId="127" fillId="2" borderId="56" xfId="1" applyNumberFormat="1" applyFont="1" applyFill="1" applyBorder="1" applyAlignment="1">
      <alignment horizontal="center" vertical="top" wrapText="1"/>
    </xf>
    <xf numFmtId="9" fontId="127" fillId="21" borderId="56" xfId="68" applyFont="1" applyFill="1" applyBorder="1" applyAlignment="1">
      <alignment horizontal="center" vertical="top" wrapText="1"/>
    </xf>
    <xf numFmtId="9" fontId="127" fillId="2" borderId="56" xfId="0" applyNumberFormat="1" applyFont="1" applyFill="1" applyBorder="1" applyAlignment="1">
      <alignment horizontal="center" vertical="top" wrapText="1"/>
    </xf>
    <xf numFmtId="170" fontId="97" fillId="21" borderId="56" xfId="69" applyNumberFormat="1" applyFont="1" applyFill="1" applyBorder="1" applyAlignment="1">
      <alignment horizontal="center" vertical="center" wrapText="1"/>
    </xf>
    <xf numFmtId="0" fontId="3" fillId="21" borderId="30" xfId="0" applyFont="1" applyFill="1" applyBorder="1"/>
    <xf numFmtId="0" fontId="96" fillId="32" borderId="31" xfId="69" applyFont="1" applyFill="1" applyBorder="1" applyAlignment="1">
      <alignment vertical="center"/>
    </xf>
    <xf numFmtId="0" fontId="141" fillId="2" borderId="56" xfId="0" applyFont="1" applyFill="1" applyBorder="1" applyAlignment="1">
      <alignment vertical="top" wrapText="1"/>
    </xf>
    <xf numFmtId="175" fontId="129" fillId="42" borderId="56" xfId="1" applyNumberFormat="1" applyFont="1" applyFill="1" applyBorder="1" applyAlignment="1">
      <alignment horizontal="center" vertical="top" wrapText="1"/>
    </xf>
    <xf numFmtId="2" fontId="129" fillId="42" borderId="56" xfId="0" applyNumberFormat="1" applyFont="1" applyFill="1" applyBorder="1" applyAlignment="1">
      <alignment horizontal="center" vertical="top" wrapText="1"/>
    </xf>
    <xf numFmtId="2" fontId="0" fillId="2" borderId="56" xfId="0" applyNumberFormat="1" applyFill="1" applyBorder="1" applyAlignment="1">
      <alignment vertical="top" wrapText="1"/>
    </xf>
    <xf numFmtId="0" fontId="142" fillId="25" borderId="59" xfId="0" applyFont="1" applyFill="1" applyBorder="1" applyAlignment="1">
      <alignment horizontal="center" vertical="center" wrapText="1" readingOrder="1"/>
    </xf>
    <xf numFmtId="6" fontId="143" fillId="26" borderId="61" xfId="0" applyNumberFormat="1" applyFont="1" applyFill="1" applyBorder="1" applyAlignment="1">
      <alignment horizontal="right" wrapText="1" readingOrder="1"/>
    </xf>
    <xf numFmtId="6" fontId="143" fillId="0" borderId="62" xfId="0" applyNumberFormat="1" applyFont="1" applyBorder="1" applyAlignment="1">
      <alignment horizontal="right" wrapText="1" readingOrder="1"/>
    </xf>
    <xf numFmtId="165" fontId="145" fillId="0" borderId="62" xfId="0" applyNumberFormat="1" applyFont="1" applyBorder="1" applyAlignment="1">
      <alignment horizontal="center" wrapText="1" readingOrder="1"/>
    </xf>
    <xf numFmtId="0" fontId="146" fillId="29" borderId="56" xfId="0" applyFont="1" applyFill="1" applyBorder="1" applyAlignment="1">
      <alignment vertical="center" wrapText="1"/>
    </xf>
    <xf numFmtId="0" fontId="83" fillId="0" borderId="72" xfId="0" applyFont="1" applyBorder="1" applyAlignment="1">
      <alignment horizontal="center" vertical="center" wrapText="1" readingOrder="1"/>
    </xf>
    <xf numFmtId="164" fontId="124" fillId="40" borderId="56" xfId="0" applyNumberFormat="1" applyFont="1" applyFill="1" applyBorder="1" applyAlignment="1">
      <alignment vertical="center" wrapText="1"/>
    </xf>
    <xf numFmtId="0" fontId="0" fillId="0" borderId="56" xfId="0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5" borderId="56" xfId="0" applyFill="1" applyBorder="1" applyAlignment="1">
      <alignment vertical="center"/>
    </xf>
    <xf numFmtId="0" fontId="20" fillId="5" borderId="56" xfId="0" applyFont="1" applyFill="1" applyBorder="1" applyAlignment="1">
      <alignment vertical="center" wrapText="1"/>
    </xf>
    <xf numFmtId="0" fontId="0" fillId="5" borderId="56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127" fillId="2" borderId="56" xfId="0" applyFont="1" applyFill="1" applyBorder="1" applyAlignment="1">
      <alignment horizontal="left" vertical="top" wrapText="1"/>
    </xf>
    <xf numFmtId="3" fontId="0" fillId="0" borderId="56" xfId="0" applyNumberFormat="1" applyBorder="1" applyAlignment="1">
      <alignment horizontal="center" vertical="center" wrapText="1"/>
    </xf>
    <xf numFmtId="0" fontId="1" fillId="28" borderId="56" xfId="0" applyFont="1" applyFill="1" applyBorder="1"/>
    <xf numFmtId="0" fontId="13" fillId="28" borderId="56" xfId="0" applyFont="1" applyFill="1" applyBorder="1" applyAlignment="1">
      <alignment horizontal="center"/>
    </xf>
    <xf numFmtId="0" fontId="13" fillId="28" borderId="56" xfId="0" applyFont="1" applyFill="1" applyBorder="1" applyAlignment="1">
      <alignment horizontal="center" wrapText="1"/>
    </xf>
    <xf numFmtId="0" fontId="13" fillId="28" borderId="0" xfId="0" applyFont="1" applyFill="1" applyAlignment="1">
      <alignment horizontal="center"/>
    </xf>
    <xf numFmtId="0" fontId="127" fillId="5" borderId="56" xfId="0" applyFont="1" applyFill="1" applyBorder="1" applyAlignment="1">
      <alignment horizontal="left" vertical="top" wrapText="1"/>
    </xf>
    <xf numFmtId="0" fontId="0" fillId="2" borderId="56" xfId="0" applyFill="1" applyBorder="1" applyAlignment="1">
      <alignment vertical="center"/>
    </xf>
    <xf numFmtId="0" fontId="20" fillId="2" borderId="56" xfId="0" applyFont="1" applyFill="1" applyBorder="1" applyAlignment="1">
      <alignment vertical="center" wrapText="1"/>
    </xf>
    <xf numFmtId="0" fontId="0" fillId="2" borderId="56" xfId="0" applyFill="1" applyBorder="1" applyAlignment="1">
      <alignment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/>
    </xf>
    <xf numFmtId="169" fontId="0" fillId="2" borderId="56" xfId="0" applyNumberFormat="1" applyFill="1" applyBorder="1" applyAlignment="1">
      <alignment horizontal="center" vertical="center"/>
    </xf>
    <xf numFmtId="3" fontId="9" fillId="5" borderId="56" xfId="0" applyNumberFormat="1" applyFont="1" applyFill="1" applyBorder="1" applyAlignment="1">
      <alignment horizontal="center" vertical="center" wrapText="1"/>
    </xf>
    <xf numFmtId="3" fontId="9" fillId="5" borderId="56" xfId="0" applyNumberFormat="1" applyFont="1" applyFill="1" applyBorder="1" applyAlignment="1">
      <alignment horizontal="left" vertical="center" wrapText="1"/>
    </xf>
    <xf numFmtId="167" fontId="9" fillId="5" borderId="56" xfId="0" applyNumberFormat="1" applyFont="1" applyFill="1" applyBorder="1" applyAlignment="1">
      <alignment horizontal="center" vertical="center" wrapText="1"/>
    </xf>
    <xf numFmtId="167" fontId="9" fillId="2" borderId="56" xfId="0" applyNumberFormat="1" applyFont="1" applyFill="1" applyBorder="1" applyAlignment="1">
      <alignment horizontal="center" vertical="center" wrapText="1"/>
    </xf>
    <xf numFmtId="0" fontId="1" fillId="28" borderId="56" xfId="0" applyFont="1" applyFill="1" applyBorder="1" applyAlignment="1">
      <alignment wrapText="1"/>
    </xf>
    <xf numFmtId="0" fontId="127" fillId="0" borderId="0" xfId="0" applyFont="1" applyAlignment="1">
      <alignment wrapText="1"/>
    </xf>
    <xf numFmtId="171" fontId="9" fillId="5" borderId="56" xfId="68" applyNumberFormat="1" applyFont="1" applyFill="1" applyBorder="1" applyAlignment="1">
      <alignment horizontal="center" vertical="center" wrapText="1"/>
    </xf>
    <xf numFmtId="3" fontId="9" fillId="2" borderId="56" xfId="0" applyNumberFormat="1" applyFont="1" applyFill="1" applyBorder="1" applyAlignment="1">
      <alignment horizontal="left" vertical="center" wrapText="1"/>
    </xf>
    <xf numFmtId="0" fontId="124" fillId="40" borderId="56" xfId="0" applyNumberFormat="1" applyFont="1" applyFill="1" applyBorder="1" applyAlignment="1">
      <alignment vertical="center" wrapText="1"/>
    </xf>
    <xf numFmtId="3" fontId="8" fillId="5" borderId="56" xfId="0" applyNumberFormat="1" applyFont="1" applyFill="1" applyBorder="1" applyAlignment="1">
      <alignment horizontal="right" vertical="center" wrapText="1"/>
    </xf>
    <xf numFmtId="3" fontId="8" fillId="2" borderId="56" xfId="0" applyNumberFormat="1" applyFont="1" applyFill="1" applyBorder="1" applyAlignment="1">
      <alignment horizontal="right" vertical="center" wrapText="1"/>
    </xf>
    <xf numFmtId="171" fontId="9" fillId="0" borderId="56" xfId="0" applyNumberFormat="1" applyFont="1" applyBorder="1" applyAlignment="1">
      <alignment horizontal="center"/>
    </xf>
    <xf numFmtId="171" fontId="9" fillId="0" borderId="56" xfId="0" applyNumberFormat="1" applyFont="1" applyBorder="1"/>
    <xf numFmtId="0" fontId="127" fillId="5" borderId="56" xfId="0" applyFont="1" applyFill="1" applyBorder="1"/>
    <xf numFmtId="164" fontId="0" fillId="0" borderId="56" xfId="0" applyNumberFormat="1" applyBorder="1" applyAlignment="1">
      <alignment vertical="center" wrapText="1"/>
    </xf>
    <xf numFmtId="164" fontId="0" fillId="5" borderId="56" xfId="0" applyNumberFormat="1" applyFill="1" applyBorder="1" applyAlignment="1">
      <alignment vertical="center" wrapText="1"/>
    </xf>
    <xf numFmtId="164" fontId="0" fillId="2" borderId="56" xfId="0" applyNumberFormat="1" applyFill="1" applyBorder="1" applyAlignment="1">
      <alignment vertical="center" wrapText="1"/>
    </xf>
    <xf numFmtId="164" fontId="0" fillId="0" borderId="56" xfId="0" applyNumberFormat="1" applyFill="1" applyBorder="1" applyAlignment="1">
      <alignment vertical="center" wrapText="1"/>
    </xf>
    <xf numFmtId="171" fontId="108" fillId="36" borderId="28" xfId="68" applyNumberFormat="1" applyFont="1" applyFill="1" applyBorder="1" applyAlignment="1">
      <alignment horizontal="right" vertical="center" wrapText="1"/>
    </xf>
    <xf numFmtId="2" fontId="0" fillId="0" borderId="2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149" fillId="38" borderId="0" xfId="0" applyFont="1" applyFill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165" fontId="119" fillId="5" borderId="56" xfId="0" applyNumberFormat="1" applyFont="1" applyFill="1" applyBorder="1" applyAlignment="1">
      <alignment vertical="center" wrapText="1"/>
    </xf>
    <xf numFmtId="6" fontId="107" fillId="3" borderId="0" xfId="0" applyNumberFormat="1" applyFont="1" applyFill="1" applyBorder="1" applyAlignment="1">
      <alignment horizontal="center" vertical="center"/>
    </xf>
    <xf numFmtId="6" fontId="85" fillId="11" borderId="61" xfId="0" applyNumberFormat="1" applyFont="1" applyFill="1" applyBorder="1" applyAlignment="1">
      <alignment horizontal="right" wrapText="1" readingOrder="1"/>
    </xf>
    <xf numFmtId="6" fontId="143" fillId="11" borderId="61" xfId="0" applyNumberFormat="1" applyFont="1" applyFill="1" applyBorder="1" applyAlignment="1">
      <alignment horizontal="right" wrapText="1" readingOrder="1"/>
    </xf>
    <xf numFmtId="6" fontId="85" fillId="11" borderId="62" xfId="0" applyNumberFormat="1" applyFont="1" applyFill="1" applyBorder="1" applyAlignment="1">
      <alignment horizontal="right" wrapText="1" readingOrder="1"/>
    </xf>
    <xf numFmtId="6" fontId="143" fillId="11" borderId="62" xfId="0" applyNumberFormat="1" applyFont="1" applyFill="1" applyBorder="1" applyAlignment="1">
      <alignment horizontal="right" wrapText="1" readingOrder="1"/>
    </xf>
    <xf numFmtId="0" fontId="0" fillId="0" borderId="0" xfId="0" applyNumberFormat="1" applyAlignment="1">
      <alignment horizontal="center"/>
    </xf>
    <xf numFmtId="171" fontId="118" fillId="0" borderId="0" xfId="68" applyNumberFormat="1" applyFont="1" applyAlignment="1">
      <alignment horizontal="center"/>
    </xf>
    <xf numFmtId="9" fontId="0" fillId="2" borderId="56" xfId="0" applyNumberFormat="1" applyFill="1" applyBorder="1" applyAlignment="1">
      <alignment horizontal="center" vertical="top" wrapText="1"/>
    </xf>
    <xf numFmtId="0" fontId="88" fillId="26" borderId="72" xfId="0" applyNumberFormat="1" applyFont="1" applyFill="1" applyBorder="1" applyAlignment="1">
      <alignment horizontal="center" wrapText="1" readingOrder="1"/>
    </xf>
    <xf numFmtId="165" fontId="88" fillId="0" borderId="72" xfId="0" applyNumberFormat="1" applyFont="1" applyBorder="1" applyAlignment="1">
      <alignment horizontal="center" wrapText="1" readingOrder="1"/>
    </xf>
    <xf numFmtId="165" fontId="88" fillId="26" borderId="72" xfId="0" applyNumberFormat="1" applyFont="1" applyFill="1" applyBorder="1" applyAlignment="1">
      <alignment horizontal="center" wrapText="1" readingOrder="1"/>
    </xf>
    <xf numFmtId="165" fontId="145" fillId="0" borderId="72" xfId="0" applyNumberFormat="1" applyFont="1" applyBorder="1" applyAlignment="1">
      <alignment horizontal="center" wrapText="1" readingOrder="1"/>
    </xf>
    <xf numFmtId="171" fontId="145" fillId="26" borderId="73" xfId="68" applyNumberFormat="1" applyFont="1" applyFill="1" applyBorder="1" applyAlignment="1">
      <alignment horizontal="center" wrapText="1" readingOrder="1"/>
    </xf>
    <xf numFmtId="165" fontId="88" fillId="0" borderId="13" xfId="0" applyNumberFormat="1" applyFont="1" applyBorder="1" applyAlignment="1">
      <alignment horizontal="center" wrapText="1" readingOrder="1"/>
    </xf>
    <xf numFmtId="0" fontId="91" fillId="26" borderId="74" xfId="0" applyFont="1" applyFill="1" applyBorder="1" applyAlignment="1">
      <alignment horizontal="left" vertical="center" wrapText="1" readingOrder="1"/>
    </xf>
    <xf numFmtId="0" fontId="91" fillId="0" borderId="75" xfId="0" applyFont="1" applyBorder="1" applyAlignment="1">
      <alignment horizontal="left" vertical="center" wrapText="1" readingOrder="1"/>
    </xf>
    <xf numFmtId="0" fontId="91" fillId="26" borderId="75" xfId="0" applyFont="1" applyFill="1" applyBorder="1" applyAlignment="1">
      <alignment horizontal="left" vertical="center" wrapText="1" readingOrder="1"/>
    </xf>
    <xf numFmtId="0" fontId="144" fillId="0" borderId="75" xfId="0" applyFont="1" applyBorder="1" applyAlignment="1">
      <alignment horizontal="left" vertical="center" wrapText="1" readingOrder="1"/>
    </xf>
    <xf numFmtId="0" fontId="144" fillId="5" borderId="75" xfId="0" applyFont="1" applyFill="1" applyBorder="1" applyAlignment="1">
      <alignment horizontal="left" vertical="center" wrapText="1" readingOrder="1"/>
    </xf>
    <xf numFmtId="165" fontId="145" fillId="0" borderId="76" xfId="0" applyNumberFormat="1" applyFont="1" applyBorder="1" applyAlignment="1">
      <alignment horizontal="left" wrapText="1" readingOrder="1"/>
    </xf>
    <xf numFmtId="0" fontId="124" fillId="43" borderId="56" xfId="0" applyNumberFormat="1" applyFont="1" applyFill="1" applyBorder="1" applyAlignment="1">
      <alignment vertical="center" wrapText="1"/>
    </xf>
    <xf numFmtId="6" fontId="0" fillId="40" borderId="67" xfId="0" applyNumberFormat="1" applyFont="1" applyFill="1" applyBorder="1" applyAlignment="1">
      <alignment vertical="center" wrapText="1"/>
    </xf>
    <xf numFmtId="0" fontId="0" fillId="40" borderId="68" xfId="0" applyNumberFormat="1" applyFont="1" applyFill="1" applyBorder="1" applyAlignment="1">
      <alignment vertical="center" wrapText="1"/>
    </xf>
    <xf numFmtId="0" fontId="0" fillId="40" borderId="71" xfId="0" applyNumberFormat="1" applyFont="1" applyFill="1" applyBorder="1" applyAlignment="1">
      <alignment vertical="center" wrapText="1"/>
    </xf>
    <xf numFmtId="172" fontId="0" fillId="40" borderId="71" xfId="0" applyNumberFormat="1" applyFont="1" applyFill="1" applyBorder="1" applyAlignment="1">
      <alignment vertical="center" wrapText="1"/>
    </xf>
    <xf numFmtId="6" fontId="0" fillId="40" borderId="71" xfId="0" applyNumberFormat="1" applyFont="1" applyFill="1" applyBorder="1" applyAlignment="1">
      <alignment vertical="center" wrapText="1"/>
    </xf>
    <xf numFmtId="0" fontId="0" fillId="40" borderId="31" xfId="0" applyFill="1" applyBorder="1" applyAlignment="1">
      <alignment vertical="center"/>
    </xf>
    <xf numFmtId="172" fontId="0" fillId="40" borderId="6" xfId="0" applyNumberFormat="1" applyFont="1" applyFill="1" applyBorder="1" applyAlignment="1">
      <alignment vertical="center" wrapText="1"/>
    </xf>
    <xf numFmtId="172" fontId="0" fillId="40" borderId="68" xfId="0" applyNumberFormat="1" applyFont="1" applyFill="1" applyBorder="1" applyAlignment="1">
      <alignment vertical="center" wrapText="1"/>
    </xf>
    <xf numFmtId="0" fontId="0" fillId="40" borderId="30" xfId="0" applyNumberFormat="1" applyFont="1" applyFill="1" applyBorder="1" applyAlignment="1">
      <alignment vertical="center" wrapText="1"/>
    </xf>
    <xf numFmtId="172" fontId="0" fillId="40" borderId="68" xfId="0" applyNumberFormat="1" applyFont="1" applyFill="1" applyBorder="1" applyAlignment="1">
      <alignment horizontal="right" vertical="center" wrapText="1"/>
    </xf>
    <xf numFmtId="0" fontId="0" fillId="0" borderId="70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63" xfId="0" applyBorder="1" applyAlignment="1">
      <alignment vertical="center" wrapText="1"/>
    </xf>
    <xf numFmtId="0" fontId="0" fillId="0" borderId="69" xfId="0" applyBorder="1" applyAlignment="1">
      <alignment horizontal="left" vertical="center" wrapText="1"/>
    </xf>
    <xf numFmtId="3" fontId="124" fillId="43" borderId="56" xfId="0" applyNumberFormat="1" applyFont="1" applyFill="1" applyBorder="1" applyAlignment="1">
      <alignment vertical="center" wrapText="1"/>
    </xf>
    <xf numFmtId="164" fontId="124" fillId="43" borderId="56" xfId="0" applyNumberFormat="1" applyFont="1" applyFill="1" applyBorder="1" applyAlignment="1">
      <alignment vertical="center" wrapText="1"/>
    </xf>
    <xf numFmtId="164" fontId="151" fillId="43" borderId="56" xfId="0" applyNumberFormat="1" applyFont="1" applyFill="1" applyBorder="1" applyAlignment="1">
      <alignment vertical="center" wrapText="1"/>
    </xf>
    <xf numFmtId="3" fontId="100" fillId="44" borderId="56" xfId="69" applyNumberFormat="1" applyFont="1" applyFill="1" applyBorder="1" applyAlignment="1">
      <alignment horizontal="right" vertical="center" wrapText="1"/>
    </xf>
    <xf numFmtId="176" fontId="124" fillId="40" borderId="56" xfId="0" applyNumberFormat="1" applyFont="1" applyFill="1" applyBorder="1" applyAlignment="1">
      <alignment vertical="center" wrapText="1"/>
    </xf>
    <xf numFmtId="164" fontId="124" fillId="43" borderId="0" xfId="0" applyNumberFormat="1" applyFont="1" applyFill="1" applyBorder="1" applyAlignment="1">
      <alignment vertical="center" wrapText="1"/>
    </xf>
    <xf numFmtId="171" fontId="0" fillId="0" borderId="56" xfId="68" applyNumberFormat="1" applyFont="1" applyBorder="1" applyAlignment="1">
      <alignment horizontal="center" vertical="center"/>
    </xf>
    <xf numFmtId="175" fontId="0" fillId="39" borderId="56" xfId="1" applyNumberFormat="1" applyFont="1" applyFill="1" applyBorder="1" applyAlignment="1">
      <alignment vertical="top" wrapText="1"/>
    </xf>
    <xf numFmtId="2" fontId="0" fillId="39" borderId="56" xfId="0" applyNumberFormat="1" applyFill="1" applyBorder="1" applyAlignment="1">
      <alignment horizontal="center" vertical="top" wrapText="1"/>
    </xf>
    <xf numFmtId="171" fontId="0" fillId="5" borderId="56" xfId="68" applyNumberFormat="1" applyFont="1" applyFill="1" applyBorder="1" applyAlignment="1">
      <alignment horizontal="center" vertical="center"/>
    </xf>
    <xf numFmtId="0" fontId="100" fillId="35" borderId="64" xfId="69" applyFont="1" applyFill="1" applyBorder="1" applyAlignment="1">
      <alignment vertical="center"/>
    </xf>
    <xf numFmtId="0" fontId="129" fillId="0" borderId="0" xfId="0" applyFont="1" applyFill="1" applyBorder="1" applyAlignment="1">
      <alignment horizontal="center" vertical="top" wrapText="1"/>
    </xf>
    <xf numFmtId="0" fontId="127" fillId="0" borderId="0" xfId="0" applyFont="1" applyFill="1"/>
    <xf numFmtId="4" fontId="9" fillId="0" borderId="0" xfId="0" applyNumberFormat="1" applyFont="1"/>
    <xf numFmtId="0" fontId="0" fillId="43" borderId="68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3" fontId="21" fillId="5" borderId="56" xfId="0" applyNumberFormat="1" applyFont="1" applyFill="1" applyBorder="1" applyAlignment="1">
      <alignment horizontal="center" vertical="center" wrapText="1"/>
    </xf>
    <xf numFmtId="3" fontId="21" fillId="2" borderId="56" xfId="0" applyNumberFormat="1" applyFont="1" applyFill="1" applyBorder="1" applyAlignment="1">
      <alignment horizontal="center" vertical="center" wrapText="1"/>
    </xf>
    <xf numFmtId="0" fontId="0" fillId="43" borderId="56" xfId="0" applyNumberFormat="1" applyFont="1" applyFill="1" applyBorder="1" applyAlignment="1">
      <alignment vertical="center" wrapText="1"/>
    </xf>
    <xf numFmtId="0" fontId="0" fillId="43" borderId="67" xfId="0" applyNumberFormat="1" applyFont="1" applyFill="1" applyBorder="1" applyAlignment="1">
      <alignment vertical="center" wrapText="1"/>
    </xf>
    <xf numFmtId="0" fontId="0" fillId="43" borderId="56" xfId="0" applyFill="1" applyBorder="1" applyAlignment="1">
      <alignment vertical="center"/>
    </xf>
    <xf numFmtId="0" fontId="0" fillId="43" borderId="71" xfId="0" applyNumberFormat="1" applyFont="1" applyFill="1" applyBorder="1" applyAlignment="1">
      <alignment vertical="center" wrapText="1"/>
    </xf>
    <xf numFmtId="172" fontId="0" fillId="43" borderId="71" xfId="0" applyNumberFormat="1" applyFont="1" applyFill="1" applyBorder="1" applyAlignment="1">
      <alignment vertical="center" wrapText="1"/>
    </xf>
    <xf numFmtId="0" fontId="0" fillId="43" borderId="31" xfId="0" applyFill="1" applyBorder="1" applyAlignment="1">
      <alignment vertical="center"/>
    </xf>
    <xf numFmtId="172" fontId="0" fillId="43" borderId="6" xfId="0" applyNumberFormat="1" applyFont="1" applyFill="1" applyBorder="1" applyAlignment="1">
      <alignment vertical="center" wrapText="1"/>
    </xf>
    <xf numFmtId="172" fontId="0" fillId="43" borderId="68" xfId="0" applyNumberFormat="1" applyFont="1" applyFill="1" applyBorder="1" applyAlignment="1">
      <alignment vertical="center" wrapText="1"/>
    </xf>
    <xf numFmtId="0" fontId="0" fillId="43" borderId="30" xfId="0" applyNumberFormat="1" applyFont="1" applyFill="1" applyBorder="1" applyAlignment="1">
      <alignment vertical="center" wrapText="1"/>
    </xf>
    <xf numFmtId="172" fontId="0" fillId="43" borderId="68" xfId="0" applyNumberFormat="1" applyFont="1" applyFill="1" applyBorder="1" applyAlignment="1">
      <alignment horizontal="right" vertical="center" wrapText="1"/>
    </xf>
    <xf numFmtId="165" fontId="88" fillId="26" borderId="79" xfId="0" applyNumberFormat="1" applyFont="1" applyFill="1" applyBorder="1" applyAlignment="1">
      <alignment horizontal="center" wrapText="1" readingOrder="1"/>
    </xf>
    <xf numFmtId="0" fontId="83" fillId="5" borderId="80" xfId="0" applyFont="1" applyFill="1" applyBorder="1" applyAlignment="1">
      <alignment horizontal="center" vertical="center" wrapText="1" readingOrder="1"/>
    </xf>
    <xf numFmtId="165" fontId="88" fillId="26" borderId="80" xfId="0" applyNumberFormat="1" applyFont="1" applyFill="1" applyBorder="1" applyAlignment="1">
      <alignment horizontal="center" wrapText="1" readingOrder="1"/>
    </xf>
    <xf numFmtId="171" fontId="88" fillId="26" borderId="73" xfId="68" applyNumberFormat="1" applyFont="1" applyFill="1" applyBorder="1" applyAlignment="1">
      <alignment horizontal="center" wrapText="1" readingOrder="1"/>
    </xf>
    <xf numFmtId="0" fontId="83" fillId="5" borderId="78" xfId="0" applyFont="1" applyFill="1" applyBorder="1" applyAlignment="1">
      <alignment horizontal="center" vertical="center" wrapText="1" readingOrder="1"/>
    </xf>
    <xf numFmtId="165" fontId="88" fillId="26" borderId="78" xfId="0" applyNumberFormat="1" applyFont="1" applyFill="1" applyBorder="1" applyAlignment="1">
      <alignment horizontal="center" wrapText="1" readingOrder="1"/>
    </xf>
    <xf numFmtId="2" fontId="83" fillId="25" borderId="56" xfId="0" applyNumberFormat="1" applyFont="1" applyFill="1" applyBorder="1" applyAlignment="1">
      <alignment horizontal="center" vertical="center" wrapText="1" readingOrder="1"/>
    </xf>
    <xf numFmtId="0" fontId="83" fillId="25" borderId="56" xfId="0" applyFont="1" applyFill="1" applyBorder="1" applyAlignment="1">
      <alignment horizontal="center" vertical="center" wrapText="1" readingOrder="1"/>
    </xf>
    <xf numFmtId="171" fontId="83" fillId="25" borderId="56" xfId="68" applyNumberFormat="1" applyFont="1" applyFill="1" applyBorder="1" applyAlignment="1">
      <alignment horizontal="center" vertical="center" wrapText="1" readingOrder="1"/>
    </xf>
    <xf numFmtId="0" fontId="91" fillId="5" borderId="81" xfId="0" applyFont="1" applyFill="1" applyBorder="1" applyAlignment="1">
      <alignment horizontal="left" vertical="center" wrapText="1" readingOrder="1"/>
    </xf>
    <xf numFmtId="0" fontId="83" fillId="25" borderId="82" xfId="0" applyFont="1" applyFill="1" applyBorder="1" applyAlignment="1">
      <alignment horizontal="center" vertical="center" wrapText="1" readingOrder="1"/>
    </xf>
    <xf numFmtId="0" fontId="144" fillId="5" borderId="84" xfId="0" applyFont="1" applyFill="1" applyBorder="1" applyAlignment="1">
      <alignment horizontal="left" vertical="center" wrapText="1" readingOrder="1"/>
    </xf>
    <xf numFmtId="0" fontId="83" fillId="25" borderId="83" xfId="0" applyFont="1" applyFill="1" applyBorder="1" applyAlignment="1">
      <alignment horizontal="center" vertical="center" wrapText="1" readingOrder="1"/>
    </xf>
    <xf numFmtId="0" fontId="86" fillId="27" borderId="0" xfId="0" applyFont="1" applyFill="1" applyBorder="1" applyAlignment="1">
      <alignment horizontal="center" vertical="center" wrapText="1" readingOrder="1"/>
    </xf>
    <xf numFmtId="171" fontId="9" fillId="0" borderId="0" xfId="0" applyNumberFormat="1" applyFont="1"/>
    <xf numFmtId="2" fontId="145" fillId="0" borderId="73" xfId="0" applyNumberFormat="1" applyFont="1" applyBorder="1" applyAlignment="1">
      <alignment horizontal="center" wrapText="1" readingOrder="1"/>
    </xf>
    <xf numFmtId="0" fontId="83" fillId="0" borderId="78" xfId="0" applyFont="1" applyBorder="1" applyAlignment="1">
      <alignment horizontal="center" vertical="center" wrapText="1" readingOrder="1"/>
    </xf>
    <xf numFmtId="165" fontId="145" fillId="0" borderId="78" xfId="0" applyNumberFormat="1" applyFont="1" applyBorder="1" applyAlignment="1">
      <alignment horizontal="center" wrapText="1" readingOrder="1"/>
    </xf>
    <xf numFmtId="177" fontId="0" fillId="0" borderId="0" xfId="0" applyNumberFormat="1"/>
    <xf numFmtId="0" fontId="152" fillId="0" borderId="85" xfId="72" applyFont="1" applyFill="1" applyBorder="1" applyAlignment="1">
      <alignment horizontal="right" wrapText="1"/>
    </xf>
    <xf numFmtId="178" fontId="152" fillId="0" borderId="85" xfId="72" applyNumberFormat="1" applyFont="1" applyFill="1" applyBorder="1" applyAlignment="1">
      <alignment horizontal="right" wrapText="1"/>
    </xf>
    <xf numFmtId="0" fontId="152" fillId="0" borderId="85" xfId="72" applyFont="1" applyFill="1" applyBorder="1" applyAlignment="1">
      <alignment wrapText="1"/>
    </xf>
    <xf numFmtId="178" fontId="152" fillId="0" borderId="86" xfId="72" applyNumberFormat="1" applyFont="1" applyFill="1" applyBorder="1" applyAlignment="1">
      <alignment horizontal="right" wrapText="1"/>
    </xf>
    <xf numFmtId="0" fontId="152" fillId="0" borderId="87" xfId="72" applyFont="1" applyFill="1" applyBorder="1" applyAlignment="1">
      <alignment horizontal="left"/>
    </xf>
    <xf numFmtId="0" fontId="152" fillId="0" borderId="87" xfId="72" applyFont="1" applyFill="1" applyBorder="1" applyAlignment="1">
      <alignment wrapText="1"/>
    </xf>
    <xf numFmtId="0" fontId="0" fillId="0" borderId="87" xfId="0" applyBorder="1"/>
    <xf numFmtId="0" fontId="152" fillId="0" borderId="87" xfId="72" applyFont="1" applyFill="1" applyBorder="1" applyAlignment="1">
      <alignment horizontal="left" wrapText="1"/>
    </xf>
    <xf numFmtId="0" fontId="152" fillId="0" borderId="87" xfId="72" applyFont="1" applyFill="1" applyBorder="1" applyAlignment="1">
      <alignment horizontal="right" wrapText="1"/>
    </xf>
    <xf numFmtId="0" fontId="153" fillId="0" borderId="87" xfId="72" applyFont="1" applyFill="1" applyBorder="1" applyAlignment="1">
      <alignment horizontal="left" wrapText="1"/>
    </xf>
    <xf numFmtId="0" fontId="153" fillId="0" borderId="87" xfId="72" applyFont="1" applyFill="1" applyBorder="1" applyAlignment="1">
      <alignment wrapText="1"/>
    </xf>
    <xf numFmtId="0" fontId="1" fillId="0" borderId="87" xfId="0" applyFont="1" applyBorder="1" applyAlignment="1">
      <alignment horizontal="center" vertical="center"/>
    </xf>
    <xf numFmtId="0" fontId="9" fillId="24" borderId="87" xfId="0" applyFont="1" applyFill="1" applyBorder="1" applyAlignment="1">
      <alignment horizontal="center" vertical="center" wrapText="1"/>
    </xf>
    <xf numFmtId="6" fontId="8" fillId="40" borderId="87" xfId="0" applyNumberFormat="1" applyFont="1" applyFill="1" applyBorder="1" applyAlignment="1">
      <alignment vertical="center" wrapText="1"/>
    </xf>
    <xf numFmtId="6" fontId="9" fillId="40" borderId="87" xfId="0" applyNumberFormat="1" applyFont="1" applyFill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1" fontId="0" fillId="0" borderId="87" xfId="0" applyNumberFormat="1" applyBorder="1"/>
    <xf numFmtId="0" fontId="1" fillId="0" borderId="87" xfId="0" applyFont="1" applyFill="1" applyBorder="1"/>
    <xf numFmtId="1" fontId="1" fillId="0" borderId="87" xfId="0" applyNumberFormat="1" applyFont="1" applyBorder="1"/>
    <xf numFmtId="43" fontId="0" fillId="0" borderId="0" xfId="1" applyFont="1"/>
    <xf numFmtId="9" fontId="0" fillId="0" borderId="0" xfId="68" applyFont="1"/>
    <xf numFmtId="43" fontId="0" fillId="0" borderId="0" xfId="0" applyNumberFormat="1"/>
    <xf numFmtId="0" fontId="152" fillId="0" borderId="87" xfId="72" applyFont="1" applyFill="1" applyBorder="1" applyAlignment="1">
      <alignment horizontal="center" wrapText="1"/>
    </xf>
    <xf numFmtId="43" fontId="154" fillId="2" borderId="87" xfId="0" applyNumberFormat="1" applyFont="1" applyFill="1" applyBorder="1"/>
    <xf numFmtId="6" fontId="0" fillId="0" borderId="87" xfId="1" applyNumberFormat="1" applyFont="1" applyBorder="1"/>
    <xf numFmtId="6" fontId="0" fillId="0" borderId="87" xfId="0" applyNumberFormat="1" applyBorder="1"/>
    <xf numFmtId="0" fontId="0" fillId="5" borderId="0" xfId="0" applyFont="1" applyFill="1" applyAlignment="1">
      <alignment horizontal="center"/>
    </xf>
    <xf numFmtId="0" fontId="0" fillId="5" borderId="0" xfId="0" applyFill="1"/>
    <xf numFmtId="0" fontId="144" fillId="2" borderId="77" xfId="0" applyFont="1" applyFill="1" applyBorder="1" applyAlignment="1">
      <alignment horizontal="left" vertical="center" wrapText="1" readingOrder="1"/>
    </xf>
    <xf numFmtId="0" fontId="83" fillId="25" borderId="88" xfId="0" applyFont="1" applyFill="1" applyBorder="1" applyAlignment="1">
      <alignment horizontal="center" vertical="center" wrapText="1" readingOrder="1"/>
    </xf>
    <xf numFmtId="0" fontId="83" fillId="25" borderId="89" xfId="0" applyFont="1" applyFill="1" applyBorder="1" applyAlignment="1">
      <alignment horizontal="center" vertical="center" wrapText="1" readingOrder="1"/>
    </xf>
    <xf numFmtId="171" fontId="145" fillId="2" borderId="73" xfId="68" applyNumberFormat="1" applyFont="1" applyFill="1" applyBorder="1" applyAlignment="1">
      <alignment horizontal="center" wrapText="1" readingOrder="1"/>
    </xf>
    <xf numFmtId="2" fontId="145" fillId="2" borderId="73" xfId="68" applyNumberFormat="1" applyFont="1" applyFill="1" applyBorder="1" applyAlignment="1">
      <alignment horizontal="center" wrapText="1" readingOrder="1"/>
    </xf>
    <xf numFmtId="10" fontId="156" fillId="0" borderId="0" xfId="68" applyNumberFormat="1" applyFont="1"/>
    <xf numFmtId="3" fontId="157" fillId="19" borderId="57" xfId="0" applyNumberFormat="1" applyFont="1" applyFill="1" applyBorder="1" applyAlignment="1">
      <alignment horizontal="right" vertical="top"/>
    </xf>
    <xf numFmtId="0" fontId="157" fillId="20" borderId="57" xfId="0" applyFont="1" applyFill="1" applyBorder="1" applyAlignment="1">
      <alignment horizontal="right" vertical="top" wrapText="1"/>
    </xf>
    <xf numFmtId="3" fontId="157" fillId="20" borderId="57" xfId="0" applyNumberFormat="1" applyFont="1" applyFill="1" applyBorder="1" applyAlignment="1">
      <alignment horizontal="right" vertical="top"/>
    </xf>
    <xf numFmtId="3" fontId="157" fillId="20" borderId="57" xfId="0" applyNumberFormat="1" applyFont="1" applyFill="1" applyBorder="1" applyAlignment="1">
      <alignment horizontal="right" vertical="center"/>
    </xf>
    <xf numFmtId="0" fontId="157" fillId="19" borderId="57" xfId="0" applyFont="1" applyFill="1" applyBorder="1" applyAlignment="1">
      <alignment horizontal="right" vertical="top" wrapText="1"/>
    </xf>
    <xf numFmtId="0" fontId="152" fillId="0" borderId="0" xfId="0" applyFont="1"/>
    <xf numFmtId="0" fontId="0" fillId="19" borderId="0" xfId="0" applyFill="1"/>
    <xf numFmtId="10" fontId="130" fillId="5" borderId="56" xfId="68" applyNumberFormat="1" applyFont="1" applyFill="1" applyBorder="1" applyAlignment="1">
      <alignment vertical="center" wrapText="1"/>
    </xf>
    <xf numFmtId="10" fontId="127" fillId="5" borderId="87" xfId="0" applyNumberFormat="1" applyFont="1" applyFill="1" applyBorder="1"/>
    <xf numFmtId="0" fontId="132" fillId="46" borderId="87" xfId="0" applyFont="1" applyFill="1" applyBorder="1" applyAlignment="1">
      <alignment horizontal="center"/>
    </xf>
    <xf numFmtId="0" fontId="78" fillId="47" borderId="57" xfId="0" applyFont="1" applyFill="1" applyBorder="1" applyAlignment="1">
      <alignment horizontal="right" wrapText="1"/>
    </xf>
    <xf numFmtId="0" fontId="127" fillId="0" borderId="0" xfId="0" applyFont="1" applyAlignment="1">
      <alignment vertical="center"/>
    </xf>
    <xf numFmtId="0" fontId="78" fillId="22" borderId="57" xfId="0" applyFont="1" applyFill="1" applyBorder="1" applyAlignment="1">
      <alignment horizontal="right" vertical="center" wrapText="1"/>
    </xf>
    <xf numFmtId="10" fontId="156" fillId="0" borderId="0" xfId="68" applyNumberFormat="1" applyFont="1" applyAlignment="1">
      <alignment vertical="center"/>
    </xf>
    <xf numFmtId="0" fontId="127" fillId="2" borderId="0" xfId="0" applyFont="1" applyFill="1" applyAlignment="1">
      <alignment vertical="center"/>
    </xf>
    <xf numFmtId="10" fontId="113" fillId="0" borderId="0" xfId="68" applyNumberFormat="1" applyFont="1" applyAlignment="1">
      <alignment vertical="center"/>
    </xf>
    <xf numFmtId="167" fontId="82" fillId="2" borderId="57" xfId="0" applyNumberFormat="1" applyFont="1" applyFill="1" applyBorder="1" applyAlignment="1">
      <alignment horizontal="right" wrapText="1"/>
    </xf>
    <xf numFmtId="10" fontId="119" fillId="5" borderId="56" xfId="68" applyNumberFormat="1" applyFont="1" applyFill="1" applyBorder="1" applyAlignment="1">
      <alignment vertical="center" wrapText="1"/>
    </xf>
    <xf numFmtId="3" fontId="119" fillId="41" borderId="56" xfId="0" applyNumberFormat="1" applyFont="1" applyFill="1" applyBorder="1" applyAlignment="1">
      <alignment vertical="center" wrapText="1"/>
    </xf>
    <xf numFmtId="171" fontId="119" fillId="41" borderId="56" xfId="68" applyNumberFormat="1" applyFont="1" applyFill="1" applyBorder="1" applyAlignment="1">
      <alignment vertical="center" wrapText="1"/>
    </xf>
    <xf numFmtId="0" fontId="155" fillId="45" borderId="78" xfId="0" applyFont="1" applyFill="1" applyBorder="1" applyAlignment="1">
      <alignment horizontal="center" vertical="center" wrapText="1" readingOrder="1"/>
    </xf>
    <xf numFmtId="6" fontId="150" fillId="45" borderId="78" xfId="0" applyNumberFormat="1" applyFont="1" applyFill="1" applyBorder="1" applyAlignment="1">
      <alignment horizontal="right" wrapText="1" readingOrder="1"/>
    </xf>
    <xf numFmtId="6" fontId="141" fillId="45" borderId="78" xfId="0" applyNumberFormat="1" applyFont="1" applyFill="1" applyBorder="1" applyAlignment="1">
      <alignment horizontal="right" wrapText="1" readingOrder="1"/>
    </xf>
    <xf numFmtId="171" fontId="150" fillId="45" borderId="78" xfId="68" applyNumberFormat="1" applyFont="1" applyFill="1" applyBorder="1" applyAlignment="1">
      <alignment horizontal="right" wrapText="1" readingOrder="1"/>
    </xf>
    <xf numFmtId="171" fontId="141" fillId="45" borderId="78" xfId="68" applyNumberFormat="1" applyFont="1" applyFill="1" applyBorder="1" applyAlignment="1">
      <alignment horizontal="right" wrapText="1" readingOrder="1"/>
    </xf>
    <xf numFmtId="0" fontId="155" fillId="45" borderId="78" xfId="0" applyFont="1" applyFill="1" applyBorder="1" applyAlignment="1">
      <alignment horizontal="right" vertical="center" wrapText="1" readingOrder="1"/>
    </xf>
    <xf numFmtId="168" fontId="0" fillId="5" borderId="56" xfId="0" applyNumberFormat="1" applyFill="1" applyBorder="1" applyAlignment="1">
      <alignment horizontal="center" vertical="center"/>
    </xf>
    <xf numFmtId="168" fontId="147" fillId="0" borderId="56" xfId="0" applyNumberFormat="1" applyFont="1" applyBorder="1" applyAlignment="1">
      <alignment horizontal="center" vertical="center"/>
    </xf>
    <xf numFmtId="0" fontId="13" fillId="28" borderId="87" xfId="0" applyFont="1" applyFill="1" applyBorder="1" applyAlignment="1">
      <alignment horizontal="center" wrapText="1"/>
    </xf>
    <xf numFmtId="3" fontId="8" fillId="5" borderId="87" xfId="0" applyNumberFormat="1" applyFont="1" applyFill="1" applyBorder="1" applyAlignment="1">
      <alignment horizontal="right" vertical="center" wrapText="1"/>
    </xf>
    <xf numFmtId="171" fontId="9" fillId="5" borderId="87" xfId="68" applyNumberFormat="1" applyFont="1" applyFill="1" applyBorder="1" applyAlignment="1">
      <alignment horizontal="center" vertical="center" wrapText="1"/>
    </xf>
    <xf numFmtId="3" fontId="9" fillId="2" borderId="87" xfId="0" applyNumberFormat="1" applyFont="1" applyFill="1" applyBorder="1" applyAlignment="1">
      <alignment horizontal="center" vertical="center" wrapText="1"/>
    </xf>
    <xf numFmtId="0" fontId="13" fillId="28" borderId="56" xfId="0" applyFont="1" applyFill="1" applyBorder="1" applyAlignment="1">
      <alignment horizontal="right" wrapText="1"/>
    </xf>
    <xf numFmtId="171" fontId="71" fillId="0" borderId="0" xfId="0" applyNumberFormat="1" applyFont="1"/>
    <xf numFmtId="0" fontId="158" fillId="28" borderId="56" xfId="0" applyFont="1" applyFill="1" applyBorder="1" applyAlignment="1">
      <alignment horizontal="center" wrapText="1"/>
    </xf>
    <xf numFmtId="0" fontId="13" fillId="28" borderId="56" xfId="0" applyFont="1" applyFill="1" applyBorder="1" applyAlignment="1">
      <alignment horizontal="right"/>
    </xf>
    <xf numFmtId="164" fontId="127" fillId="0" borderId="87" xfId="0" applyNumberFormat="1" applyFont="1" applyBorder="1"/>
    <xf numFmtId="3" fontId="9" fillId="2" borderId="87" xfId="0" applyNumberFormat="1" applyFont="1" applyFill="1" applyBorder="1" applyAlignment="1">
      <alignment horizontal="left" vertical="center" wrapText="1"/>
    </xf>
    <xf numFmtId="3" fontId="21" fillId="2" borderId="87" xfId="0" applyNumberFormat="1" applyFont="1" applyFill="1" applyBorder="1" applyAlignment="1">
      <alignment horizontal="center" vertical="center" wrapText="1"/>
    </xf>
    <xf numFmtId="167" fontId="9" fillId="2" borderId="87" xfId="0" applyNumberFormat="1" applyFont="1" applyFill="1" applyBorder="1" applyAlignment="1">
      <alignment horizontal="center" vertical="center" wrapText="1"/>
    </xf>
    <xf numFmtId="2" fontId="148" fillId="0" borderId="0" xfId="0" applyNumberFormat="1" applyFont="1" applyAlignment="1">
      <alignment horizontal="center"/>
    </xf>
    <xf numFmtId="2" fontId="38" fillId="10" borderId="0" xfId="0" applyNumberFormat="1" applyFont="1" applyFill="1" applyBorder="1" applyAlignment="1">
      <alignment horizontal="center" wrapText="1"/>
    </xf>
    <xf numFmtId="2" fontId="38" fillId="5" borderId="0" xfId="0" applyNumberFormat="1" applyFont="1" applyFill="1" applyBorder="1" applyAlignment="1">
      <alignment horizontal="center" wrapText="1"/>
    </xf>
    <xf numFmtId="1" fontId="38" fillId="10" borderId="0" xfId="0" applyNumberFormat="1" applyFont="1" applyFill="1" applyBorder="1" applyAlignment="1">
      <alignment horizontal="center" wrapText="1"/>
    </xf>
    <xf numFmtId="1" fontId="38" fillId="48" borderId="14" xfId="0" applyNumberFormat="1" applyFont="1" applyFill="1" applyBorder="1" applyAlignment="1">
      <alignment horizontal="center" wrapText="1"/>
    </xf>
    <xf numFmtId="2" fontId="38" fillId="48" borderId="14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159" fillId="0" borderId="0" xfId="0" applyFont="1"/>
    <xf numFmtId="0" fontId="160" fillId="25" borderId="59" xfId="0" applyFont="1" applyFill="1" applyBorder="1" applyAlignment="1">
      <alignment horizontal="center" vertical="center" wrapText="1" readingOrder="1"/>
    </xf>
    <xf numFmtId="0" fontId="161" fillId="25" borderId="60" xfId="0" applyFont="1" applyFill="1" applyBorder="1" applyAlignment="1">
      <alignment horizontal="center" vertical="center" wrapText="1" readingOrder="1"/>
    </xf>
    <xf numFmtId="179" fontId="130" fillId="0" borderId="87" xfId="0" applyNumberFormat="1" applyFont="1" applyBorder="1"/>
    <xf numFmtId="0" fontId="163" fillId="25" borderId="58" xfId="0" applyFont="1" applyFill="1" applyBorder="1" applyAlignment="1">
      <alignment vertical="top" wrapText="1"/>
    </xf>
    <xf numFmtId="0" fontId="164" fillId="27" borderId="62" xfId="0" applyFont="1" applyFill="1" applyBorder="1" applyAlignment="1">
      <alignment horizontal="center" vertical="center" wrapText="1" readingOrder="1"/>
    </xf>
    <xf numFmtId="0" fontId="165" fillId="26" borderId="61" xfId="0" applyFont="1" applyFill="1" applyBorder="1" applyAlignment="1">
      <alignment horizontal="left" vertical="center" wrapText="1" readingOrder="1"/>
    </xf>
    <xf numFmtId="171" fontId="167" fillId="2" borderId="62" xfId="68" applyNumberFormat="1" applyFont="1" applyFill="1" applyBorder="1" applyAlignment="1">
      <alignment horizontal="right" wrapText="1" readingOrder="1"/>
    </xf>
    <xf numFmtId="0" fontId="161" fillId="26" borderId="61" xfId="0" applyFont="1" applyFill="1" applyBorder="1" applyAlignment="1">
      <alignment horizontal="center" vertical="center" wrapText="1" readingOrder="1"/>
    </xf>
    <xf numFmtId="0" fontId="9" fillId="0" borderId="0" xfId="0" applyNumberFormat="1" applyFont="1" applyAlignment="1">
      <alignment horizontal="center"/>
    </xf>
    <xf numFmtId="0" fontId="165" fillId="0" borderId="62" xfId="0" applyFont="1" applyBorder="1" applyAlignment="1">
      <alignment horizontal="left" vertical="center" wrapText="1" readingOrder="1"/>
    </xf>
    <xf numFmtId="0" fontId="161" fillId="0" borderId="62" xfId="0" applyFont="1" applyBorder="1" applyAlignment="1">
      <alignment horizontal="center" vertical="center" wrapText="1" readingOrder="1"/>
    </xf>
    <xf numFmtId="0" fontId="165" fillId="26" borderId="62" xfId="0" applyFont="1" applyFill="1" applyBorder="1" applyAlignment="1">
      <alignment horizontal="left" vertical="center" wrapText="1" readingOrder="1"/>
    </xf>
    <xf numFmtId="0" fontId="161" fillId="26" borderId="62" xfId="0" applyFont="1" applyFill="1" applyBorder="1" applyAlignment="1">
      <alignment horizontal="center" vertical="center" wrapText="1" readingOrder="1"/>
    </xf>
    <xf numFmtId="0" fontId="164" fillId="25" borderId="62" xfId="0" applyFont="1" applyFill="1" applyBorder="1" applyAlignment="1">
      <alignment horizontal="left" vertical="center" wrapText="1" readingOrder="1"/>
    </xf>
    <xf numFmtId="6" fontId="170" fillId="25" borderId="62" xfId="0" applyNumberFormat="1" applyFont="1" applyFill="1" applyBorder="1" applyAlignment="1">
      <alignment horizontal="right" wrapText="1" readingOrder="1"/>
    </xf>
    <xf numFmtId="0" fontId="164" fillId="25" borderId="62" xfId="0" applyFont="1" applyFill="1" applyBorder="1" applyAlignment="1">
      <alignment horizontal="center" vertical="center" wrapText="1" readingOrder="1"/>
    </xf>
    <xf numFmtId="171" fontId="172" fillId="0" borderId="0" xfId="68" applyNumberFormat="1" applyFont="1" applyAlignment="1">
      <alignment horizontal="center"/>
    </xf>
    <xf numFmtId="0" fontId="164" fillId="27" borderId="62" xfId="0" applyFont="1" applyFill="1" applyBorder="1" applyAlignment="1">
      <alignment horizontal="left" vertical="center" wrapText="1" readingOrder="1"/>
    </xf>
    <xf numFmtId="175" fontId="166" fillId="26" borderId="61" xfId="1" applyNumberFormat="1" applyFont="1" applyFill="1" applyBorder="1" applyAlignment="1">
      <alignment horizontal="right" wrapText="1" readingOrder="1"/>
    </xf>
    <xf numFmtId="175" fontId="166" fillId="0" borderId="62" xfId="1" applyNumberFormat="1" applyFont="1" applyBorder="1" applyAlignment="1">
      <alignment horizontal="right" wrapText="1" readingOrder="1"/>
    </xf>
    <xf numFmtId="175" fontId="166" fillId="26" borderId="62" xfId="1" applyNumberFormat="1" applyFont="1" applyFill="1" applyBorder="1" applyAlignment="1">
      <alignment horizontal="right" wrapText="1" readingOrder="1"/>
    </xf>
    <xf numFmtId="175" fontId="170" fillId="25" borderId="62" xfId="1" applyNumberFormat="1" applyFont="1" applyFill="1" applyBorder="1" applyAlignment="1">
      <alignment horizontal="right" wrapText="1" readingOrder="1"/>
    </xf>
    <xf numFmtId="175" fontId="170" fillId="27" borderId="62" xfId="1" applyNumberFormat="1" applyFont="1" applyFill="1" applyBorder="1" applyAlignment="1">
      <alignment horizontal="right" wrapText="1" readingOrder="1"/>
    </xf>
    <xf numFmtId="175" fontId="173" fillId="0" borderId="62" xfId="1" applyNumberFormat="1" applyFont="1" applyBorder="1" applyAlignment="1">
      <alignment horizontal="right" wrapText="1" readingOrder="1"/>
    </xf>
    <xf numFmtId="175" fontId="174" fillId="27" borderId="62" xfId="1" applyNumberFormat="1" applyFont="1" applyFill="1" applyBorder="1" applyAlignment="1">
      <alignment horizontal="right" wrapText="1" readingOrder="1"/>
    </xf>
    <xf numFmtId="175" fontId="171" fillId="25" borderId="62" xfId="1" applyNumberFormat="1" applyFont="1" applyFill="1" applyBorder="1" applyAlignment="1">
      <alignment horizontal="right" wrapText="1" readingOrder="1"/>
    </xf>
    <xf numFmtId="175" fontId="171" fillId="27" borderId="62" xfId="1" applyNumberFormat="1" applyFont="1" applyFill="1" applyBorder="1" applyAlignment="1">
      <alignment horizontal="right" wrapText="1" readingOrder="1"/>
    </xf>
    <xf numFmtId="175" fontId="164" fillId="27" borderId="62" xfId="1" applyNumberFormat="1" applyFont="1" applyFill="1" applyBorder="1" applyAlignment="1">
      <alignment horizontal="right" wrapText="1" readingOrder="1"/>
    </xf>
    <xf numFmtId="175" fontId="169" fillId="26" borderId="62" xfId="1" applyNumberFormat="1" applyFont="1" applyFill="1" applyBorder="1" applyAlignment="1">
      <alignment horizontal="right" wrapText="1" readingOrder="1"/>
    </xf>
    <xf numFmtId="175" fontId="168" fillId="26" borderId="61" xfId="1" applyNumberFormat="1" applyFont="1" applyFill="1" applyBorder="1" applyAlignment="1">
      <alignment horizontal="right" wrapText="1" readingOrder="1"/>
    </xf>
    <xf numFmtId="171" fontId="175" fillId="2" borderId="62" xfId="68" applyNumberFormat="1" applyFont="1" applyFill="1" applyBorder="1" applyAlignment="1">
      <alignment horizontal="right" wrapText="1" readingOrder="1"/>
    </xf>
    <xf numFmtId="171" fontId="176" fillId="2" borderId="62" xfId="68" applyNumberFormat="1" applyFont="1" applyFill="1" applyBorder="1" applyAlignment="1">
      <alignment horizontal="right" wrapText="1" readingOrder="1"/>
    </xf>
    <xf numFmtId="171" fontId="177" fillId="2" borderId="62" xfId="68" applyNumberFormat="1" applyFont="1" applyFill="1" applyBorder="1" applyAlignment="1">
      <alignment horizontal="right" wrapText="1" readingOrder="1"/>
    </xf>
    <xf numFmtId="175" fontId="168" fillId="0" borderId="62" xfId="1" applyNumberFormat="1" applyFont="1" applyBorder="1" applyAlignment="1">
      <alignment horizontal="right" wrapText="1" readingOrder="1"/>
    </xf>
    <xf numFmtId="175" fontId="168" fillId="26" borderId="62" xfId="1" applyNumberFormat="1" applyFont="1" applyFill="1" applyBorder="1" applyAlignment="1">
      <alignment horizontal="right" wrapText="1" readingOrder="1"/>
    </xf>
    <xf numFmtId="175" fontId="178" fillId="0" borderId="62" xfId="1" applyNumberFormat="1" applyFont="1" applyBorder="1" applyAlignment="1">
      <alignment horizontal="right" wrapText="1" readingOrder="1"/>
    </xf>
    <xf numFmtId="175" fontId="179" fillId="27" borderId="62" xfId="1" applyNumberFormat="1" applyFont="1" applyFill="1" applyBorder="1" applyAlignment="1">
      <alignment horizontal="right" wrapText="1" readingOrder="1"/>
    </xf>
    <xf numFmtId="175" fontId="164" fillId="2" borderId="62" xfId="1" applyNumberFormat="1" applyFont="1" applyFill="1" applyBorder="1" applyAlignment="1">
      <alignment horizontal="right" wrapText="1" readingOrder="1"/>
    </xf>
    <xf numFmtId="0" fontId="180" fillId="2" borderId="0" xfId="0" applyFont="1" applyFill="1"/>
    <xf numFmtId="171" fontId="83" fillId="26" borderId="62" xfId="68" applyNumberFormat="1" applyFont="1" applyFill="1" applyBorder="1" applyAlignment="1">
      <alignment horizontal="center" vertical="center" wrapText="1" readingOrder="1"/>
    </xf>
    <xf numFmtId="0" fontId="83" fillId="25" borderId="87" xfId="0" applyFont="1" applyFill="1" applyBorder="1" applyAlignment="1">
      <alignment horizontal="center" vertical="center" wrapText="1" readingOrder="1"/>
    </xf>
    <xf numFmtId="171" fontId="181" fillId="26" borderId="62" xfId="68" applyNumberFormat="1" applyFont="1" applyFill="1" applyBorder="1" applyAlignment="1">
      <alignment horizontal="center" vertical="center" wrapText="1" readingOrder="1"/>
    </xf>
    <xf numFmtId="171" fontId="162" fillId="26" borderId="62" xfId="68" applyNumberFormat="1" applyFont="1" applyFill="1" applyBorder="1" applyAlignment="1">
      <alignment horizontal="center" vertical="center" wrapText="1" readingOrder="1"/>
    </xf>
    <xf numFmtId="171" fontId="182" fillId="26" borderId="62" xfId="68" applyNumberFormat="1" applyFont="1" applyFill="1" applyBorder="1" applyAlignment="1">
      <alignment horizontal="center" vertical="center" wrapText="1" readingOrder="1"/>
    </xf>
    <xf numFmtId="171" fontId="162" fillId="26" borderId="72" xfId="68" applyNumberFormat="1" applyFont="1" applyFill="1" applyBorder="1" applyAlignment="1">
      <alignment horizontal="center" vertical="center" wrapText="1" readingOrder="1"/>
    </xf>
    <xf numFmtId="171" fontId="162" fillId="26" borderId="80" xfId="68" applyNumberFormat="1" applyFont="1" applyFill="1" applyBorder="1" applyAlignment="1">
      <alignment horizontal="center" vertical="center" wrapText="1" readingOrder="1"/>
    </xf>
    <xf numFmtId="171" fontId="182" fillId="26" borderId="4" xfId="68" applyNumberFormat="1" applyFont="1" applyFill="1" applyBorder="1" applyAlignment="1">
      <alignment horizontal="center" vertical="center" wrapText="1" readingOrder="1"/>
    </xf>
    <xf numFmtId="171" fontId="181" fillId="26" borderId="78" xfId="68" applyNumberFormat="1" applyFont="1" applyFill="1" applyBorder="1" applyAlignment="1">
      <alignment horizontal="center" vertical="center" wrapText="1" readingOrder="1"/>
    </xf>
    <xf numFmtId="171" fontId="182" fillId="26" borderId="72" xfId="68" applyNumberFormat="1" applyFont="1" applyFill="1" applyBorder="1" applyAlignment="1">
      <alignment horizontal="center" vertical="center" wrapText="1" readingOrder="1"/>
    </xf>
    <xf numFmtId="171" fontId="162" fillId="26" borderId="78" xfId="68" applyNumberFormat="1" applyFont="1" applyFill="1" applyBorder="1" applyAlignment="1">
      <alignment horizontal="center" vertical="center" wrapText="1" readingOrder="1"/>
    </xf>
    <xf numFmtId="171" fontId="83" fillId="2" borderId="62" xfId="68" applyNumberFormat="1" applyFont="1" applyFill="1" applyBorder="1" applyAlignment="1">
      <alignment horizontal="center" vertical="center" wrapText="1" readingOrder="1"/>
    </xf>
    <xf numFmtId="171" fontId="181" fillId="2" borderId="62" xfId="68" applyNumberFormat="1" applyFont="1" applyFill="1" applyBorder="1" applyAlignment="1">
      <alignment horizontal="center" vertical="center" wrapText="1" readingOrder="1"/>
    </xf>
    <xf numFmtId="171" fontId="162" fillId="2" borderId="62" xfId="68" applyNumberFormat="1" applyFont="1" applyFill="1" applyBorder="1" applyAlignment="1">
      <alignment horizontal="center" vertical="center" wrapText="1" readingOrder="1"/>
    </xf>
    <xf numFmtId="0" fontId="165" fillId="2" borderId="61" xfId="0" applyFont="1" applyFill="1" applyBorder="1" applyAlignment="1">
      <alignment horizontal="left" vertical="center" wrapText="1" readingOrder="1"/>
    </xf>
    <xf numFmtId="171" fontId="181" fillId="2" borderId="4" xfId="68" applyNumberFormat="1" applyFont="1" applyFill="1" applyBorder="1" applyAlignment="1">
      <alignment horizontal="center" vertical="center" wrapText="1" readingOrder="1"/>
    </xf>
    <xf numFmtId="171" fontId="162" fillId="2" borderId="72" xfId="68" applyNumberFormat="1" applyFont="1" applyFill="1" applyBorder="1" applyAlignment="1">
      <alignment horizontal="center" vertical="center" wrapText="1" readingOrder="1"/>
    </xf>
    <xf numFmtId="10" fontId="52" fillId="0" borderId="4" xfId="68" applyNumberFormat="1" applyFont="1" applyBorder="1"/>
    <xf numFmtId="171" fontId="183" fillId="26" borderId="62" xfId="68" applyNumberFormat="1" applyFont="1" applyFill="1" applyBorder="1" applyAlignment="1">
      <alignment horizontal="center" vertical="center" wrapText="1" readingOrder="1"/>
    </xf>
    <xf numFmtId="2" fontId="183" fillId="26" borderId="62" xfId="68" applyNumberFormat="1" applyFont="1" applyFill="1" applyBorder="1" applyAlignment="1">
      <alignment horizontal="center" vertical="center" wrapText="1" readingOrder="1"/>
    </xf>
    <xf numFmtId="2" fontId="181" fillId="26" borderId="62" xfId="68" applyNumberFormat="1" applyFont="1" applyFill="1" applyBorder="1" applyAlignment="1">
      <alignment horizontal="center" vertical="center" wrapText="1" readingOrder="1"/>
    </xf>
    <xf numFmtId="2" fontId="184" fillId="26" borderId="62" xfId="68" applyNumberFormat="1" applyFont="1" applyFill="1" applyBorder="1" applyAlignment="1">
      <alignment horizontal="center" vertical="center" wrapText="1" readingOrder="1"/>
    </xf>
    <xf numFmtId="2" fontId="185" fillId="26" borderId="62" xfId="68" applyNumberFormat="1" applyFont="1" applyFill="1" applyBorder="1" applyAlignment="1">
      <alignment horizontal="center" vertical="center" wrapText="1" readingOrder="1"/>
    </xf>
    <xf numFmtId="2" fontId="186" fillId="26" borderId="62" xfId="68" applyNumberFormat="1" applyFont="1" applyFill="1" applyBorder="1" applyAlignment="1">
      <alignment horizontal="center" vertical="center" wrapText="1" readingOrder="1"/>
    </xf>
    <xf numFmtId="0" fontId="115" fillId="0" borderId="0" xfId="0" applyFont="1" applyAlignment="1">
      <alignment horizontal="right"/>
    </xf>
    <xf numFmtId="171" fontId="182" fillId="26" borderId="90" xfId="68" applyNumberFormat="1" applyFont="1" applyFill="1" applyBorder="1" applyAlignment="1">
      <alignment horizontal="center" vertical="center" wrapText="1" readingOrder="1"/>
    </xf>
    <xf numFmtId="171" fontId="162" fillId="26" borderId="0" xfId="68" applyNumberFormat="1" applyFont="1" applyFill="1" applyBorder="1" applyAlignment="1">
      <alignment horizontal="center" vertical="center" wrapText="1" readingOrder="1"/>
    </xf>
    <xf numFmtId="171" fontId="162" fillId="2" borderId="0" xfId="68" applyNumberFormat="1" applyFont="1" applyFill="1" applyBorder="1" applyAlignment="1">
      <alignment horizontal="center" vertical="center" wrapText="1" readingOrder="1"/>
    </xf>
    <xf numFmtId="0" fontId="44" fillId="12" borderId="18" xfId="0" applyFont="1" applyFill="1" applyBorder="1" applyAlignment="1" applyProtection="1">
      <alignment horizontal="center" vertical="center"/>
      <protection locked="0"/>
    </xf>
    <xf numFmtId="0" fontId="49" fillId="12" borderId="23" xfId="3" applyFont="1" applyFill="1" applyBorder="1" applyAlignment="1" applyProtection="1">
      <alignment horizontal="center" vertical="center"/>
      <protection locked="0"/>
    </xf>
    <xf numFmtId="0" fontId="49" fillId="12" borderId="24" xfId="3" applyFont="1" applyFill="1" applyBorder="1" applyAlignment="1" applyProtection="1">
      <alignment horizontal="center" vertical="center"/>
      <protection locked="0"/>
    </xf>
    <xf numFmtId="0" fontId="49" fillId="12" borderId="20" xfId="3" applyFont="1" applyFill="1" applyBorder="1" applyAlignment="1" applyProtection="1">
      <alignment horizontal="center" vertical="center"/>
      <protection locked="0"/>
    </xf>
    <xf numFmtId="0" fontId="49" fillId="12" borderId="22" xfId="3" applyFont="1" applyFill="1" applyBorder="1" applyAlignment="1" applyProtection="1">
      <alignment horizontal="center" vertical="center"/>
      <protection locked="0"/>
    </xf>
    <xf numFmtId="0" fontId="105" fillId="38" borderId="5" xfId="69" applyFont="1" applyFill="1" applyBorder="1" applyAlignment="1">
      <alignment horizontal="center" vertical="center" wrapText="1"/>
    </xf>
    <xf numFmtId="0" fontId="105" fillId="38" borderId="63" xfId="69" applyFont="1" applyFill="1" applyBorder="1" applyAlignment="1">
      <alignment horizontal="center" vertical="center" wrapText="1"/>
    </xf>
    <xf numFmtId="171" fontId="108" fillId="38" borderId="56" xfId="69" applyNumberFormat="1" applyFont="1" applyFill="1" applyBorder="1" applyAlignment="1">
      <alignment horizontal="center" vertical="center" wrapText="1"/>
    </xf>
    <xf numFmtId="0" fontId="120" fillId="3" borderId="28" xfId="0" applyFont="1" applyFill="1" applyBorder="1" applyAlignment="1">
      <alignment horizontal="center" vertical="top" wrapText="1"/>
    </xf>
    <xf numFmtId="0" fontId="120" fillId="3" borderId="2" xfId="0" applyFont="1" applyFill="1" applyBorder="1" applyAlignment="1">
      <alignment horizontal="center" vertical="top" wrapText="1"/>
    </xf>
    <xf numFmtId="0" fontId="133" fillId="29" borderId="56" xfId="0" applyFont="1" applyFill="1" applyBorder="1" applyAlignment="1">
      <alignment horizontal="right" vertical="top" wrapText="1"/>
    </xf>
    <xf numFmtId="0" fontId="132" fillId="3" borderId="28" xfId="0" applyFont="1" applyFill="1" applyBorder="1" applyAlignment="1">
      <alignment horizontal="center" vertical="top"/>
    </xf>
    <xf numFmtId="0" fontId="132" fillId="3" borderId="29" xfId="0" applyFont="1" applyFill="1" applyBorder="1" applyAlignment="1">
      <alignment horizontal="center" vertical="top"/>
    </xf>
    <xf numFmtId="0" fontId="132" fillId="3" borderId="2" xfId="0" applyFont="1" applyFill="1" applyBorder="1" applyAlignment="1">
      <alignment horizontal="center" vertical="top"/>
    </xf>
    <xf numFmtId="0" fontId="2" fillId="29" borderId="56" xfId="0" applyFont="1" applyFill="1" applyBorder="1" applyAlignment="1">
      <alignment horizontal="right" vertical="top" wrapText="1"/>
    </xf>
    <xf numFmtId="0" fontId="120" fillId="3" borderId="28" xfId="0" applyFont="1" applyFill="1" applyBorder="1" applyAlignment="1">
      <alignment horizontal="center" vertical="top"/>
    </xf>
    <xf numFmtId="0" fontId="120" fillId="3" borderId="29" xfId="0" applyFont="1" applyFill="1" applyBorder="1" applyAlignment="1">
      <alignment horizontal="center" vertical="top"/>
    </xf>
    <xf numFmtId="0" fontId="120" fillId="3" borderId="2" xfId="0" applyFont="1" applyFill="1" applyBorder="1" applyAlignment="1">
      <alignment horizontal="center" vertical="top"/>
    </xf>
    <xf numFmtId="0" fontId="60" fillId="6" borderId="49" xfId="0" applyFont="1" applyFill="1" applyBorder="1" applyAlignment="1">
      <alignment horizontal="justify" vertical="top" wrapText="1"/>
    </xf>
    <xf numFmtId="0" fontId="60" fillId="6" borderId="54" xfId="0" applyFont="1" applyFill="1" applyBorder="1" applyAlignment="1">
      <alignment horizontal="justify" vertical="top" wrapText="1"/>
    </xf>
    <xf numFmtId="0" fontId="58" fillId="6" borderId="49" xfId="0" applyFont="1" applyFill="1" applyBorder="1" applyAlignment="1">
      <alignment horizontal="justify" vertical="top" wrapText="1"/>
    </xf>
    <xf numFmtId="0" fontId="58" fillId="6" borderId="54" xfId="0" applyFont="1" applyFill="1" applyBorder="1" applyAlignment="1">
      <alignment horizontal="justify" vertical="top" wrapText="1"/>
    </xf>
    <xf numFmtId="0" fontId="58" fillId="11" borderId="52" xfId="0" applyFont="1" applyFill="1" applyBorder="1" applyAlignment="1">
      <alignment horizontal="justify" vertical="top" wrapText="1"/>
    </xf>
    <xf numFmtId="0" fontId="58" fillId="11" borderId="55" xfId="0" applyFont="1" applyFill="1" applyBorder="1" applyAlignment="1">
      <alignment horizontal="justify" vertical="top" wrapText="1"/>
    </xf>
    <xf numFmtId="0" fontId="7" fillId="12" borderId="49" xfId="0" applyFont="1" applyFill="1" applyBorder="1" applyAlignment="1">
      <alignment horizontal="right" vertical="top" wrapText="1"/>
    </xf>
    <xf numFmtId="0" fontId="7" fillId="12" borderId="54" xfId="0" applyFont="1" applyFill="1" applyBorder="1" applyAlignment="1">
      <alignment horizontal="right" vertical="top" wrapText="1"/>
    </xf>
    <xf numFmtId="0" fontId="40" fillId="11" borderId="47" xfId="0" applyFont="1" applyFill="1" applyBorder="1" applyAlignment="1">
      <alignment horizontal="center" vertical="top"/>
    </xf>
    <xf numFmtId="0" fontId="40" fillId="11" borderId="53" xfId="0" applyFont="1" applyFill="1" applyBorder="1" applyAlignment="1">
      <alignment horizontal="center" vertical="top"/>
    </xf>
    <xf numFmtId="6" fontId="0" fillId="0" borderId="0" xfId="0" applyNumberFormat="1" applyAlignment="1">
      <alignment horizontal="left" indent="5"/>
    </xf>
    <xf numFmtId="43" fontId="187" fillId="2" borderId="87" xfId="0" applyNumberFormat="1" applyFont="1" applyFill="1" applyBorder="1"/>
    <xf numFmtId="171" fontId="183" fillId="26" borderId="91" xfId="68" applyNumberFormat="1" applyFont="1" applyFill="1" applyBorder="1" applyAlignment="1">
      <alignment horizontal="center" vertical="center" wrapText="1" readingOrder="1"/>
    </xf>
    <xf numFmtId="171" fontId="188" fillId="26" borderId="62" xfId="68" applyNumberFormat="1" applyFont="1" applyFill="1" applyBorder="1" applyAlignment="1">
      <alignment horizontal="center" vertical="center" wrapText="1" readingOrder="1"/>
    </xf>
    <xf numFmtId="2" fontId="188" fillId="26" borderId="62" xfId="68" applyNumberFormat="1" applyFont="1" applyFill="1" applyBorder="1" applyAlignment="1">
      <alignment horizontal="center" vertical="center" wrapText="1" readingOrder="1"/>
    </xf>
    <xf numFmtId="171" fontId="186" fillId="26" borderId="62" xfId="68" applyNumberFormat="1" applyFont="1" applyFill="1" applyBorder="1" applyAlignment="1">
      <alignment horizontal="center" vertical="center" wrapText="1" readingOrder="1"/>
    </xf>
    <xf numFmtId="171" fontId="186" fillId="2" borderId="62" xfId="68" applyNumberFormat="1" applyFont="1" applyFill="1" applyBorder="1" applyAlignment="1">
      <alignment horizontal="center" vertical="center" wrapText="1" readingOrder="1"/>
    </xf>
    <xf numFmtId="171" fontId="186" fillId="26" borderId="72" xfId="68" applyNumberFormat="1" applyFont="1" applyFill="1" applyBorder="1" applyAlignment="1">
      <alignment horizontal="center" vertical="center" wrapText="1" readingOrder="1"/>
    </xf>
    <xf numFmtId="171" fontId="184" fillId="2" borderId="72" xfId="68" applyNumberFormat="1" applyFont="1" applyFill="1" applyBorder="1" applyAlignment="1">
      <alignment horizontal="center" vertical="center" wrapText="1" readingOrder="1"/>
    </xf>
    <xf numFmtId="171" fontId="184" fillId="26" borderId="62" xfId="68" applyNumberFormat="1" applyFont="1" applyFill="1" applyBorder="1" applyAlignment="1">
      <alignment horizontal="center" vertical="center" wrapText="1" readingOrder="1"/>
    </xf>
    <xf numFmtId="171" fontId="184" fillId="2" borderId="62" xfId="68" applyNumberFormat="1" applyFont="1" applyFill="1" applyBorder="1" applyAlignment="1">
      <alignment horizontal="center" vertical="center" wrapText="1" readingOrder="1"/>
    </xf>
    <xf numFmtId="171" fontId="184" fillId="26" borderId="80" xfId="68" applyNumberFormat="1" applyFont="1" applyFill="1" applyBorder="1" applyAlignment="1">
      <alignment horizontal="center" vertical="center" wrapText="1" readingOrder="1"/>
    </xf>
    <xf numFmtId="171" fontId="184" fillId="26" borderId="78" xfId="68" applyNumberFormat="1" applyFont="1" applyFill="1" applyBorder="1" applyAlignment="1">
      <alignment horizontal="center" vertical="center" wrapText="1" readingOrder="1"/>
    </xf>
    <xf numFmtId="171" fontId="188" fillId="2" borderId="62" xfId="68" applyNumberFormat="1" applyFont="1" applyFill="1" applyBorder="1" applyAlignment="1">
      <alignment horizontal="center" vertical="center" wrapText="1" readingOrder="1"/>
    </xf>
  </cellXfs>
  <cellStyles count="73">
    <cellStyle name="Hipervínculo" xfId="3" builtinId="8"/>
    <cellStyle name="Hipervínculo 2" xfId="70" xr:uid="{00000000-0005-0000-0000-000001000000}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l]_x000d__x000a_Path=M:\RIOCEN01_x000d__x000a_Name=Carlos Emilio Brousse_x000d__x000a_DDEApps=nsf,nsg,nsh,ntf,ns2,ors,org_x000d__x000a_SmartIcons=Todos_x000d__x000a_" xfId="69" xr:uid="{00000000-0005-0000-0000-00003E000000}"/>
    <cellStyle name="Millares" xfId="1" builtinId="3"/>
    <cellStyle name="Millares 2" xfId="65" xr:uid="{00000000-0005-0000-0000-000040000000}"/>
    <cellStyle name="Moneda" xfId="2" builtinId="4"/>
    <cellStyle name="Moneda 2" xfId="66" xr:uid="{00000000-0005-0000-0000-000042000000}"/>
    <cellStyle name="Normal" xfId="0" builtinId="0"/>
    <cellStyle name="Normal 2" xfId="64" xr:uid="{00000000-0005-0000-0000-000044000000}"/>
    <cellStyle name="Normal 2 2" xfId="67" xr:uid="{00000000-0005-0000-0000-000045000000}"/>
    <cellStyle name="Normal_CCAA Abreviado" xfId="71" xr:uid="{00000000-0005-0000-0000-000046000000}"/>
    <cellStyle name="Normal_Hoja1_1" xfId="72" xr:uid="{00000000-0005-0000-0000-000047000000}"/>
    <cellStyle name="Porcentaje" xfId="68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Times New Roman"/>
        <scheme val="none"/>
      </font>
      <alignment horizontal="center" vertical="center" textRotation="0" wrapText="1" relativeIndent="0" justifyLastLine="0" shrinkToFit="0" readingOrder="0"/>
      <border diagonalUp="0" diagonalDown="0" outline="0">
        <left/>
        <right style="medium">
          <color rgb="FF9CC2E5"/>
        </right>
        <top/>
        <bottom style="medium">
          <color rgb="FF9CC2E5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Times New Roman"/>
        <scheme val="none"/>
      </font>
      <alignment horizontal="justify" vertical="center" textRotation="0" wrapText="1" relativeIndent="0" justifyLastLine="0" shrinkToFit="0" readingOrder="0"/>
      <border diagonalUp="0" diagonalDown="0" outline="0">
        <left/>
        <right style="medium">
          <color rgb="FF9CC2E5"/>
        </right>
        <top/>
        <bottom style="medium">
          <color rgb="FF9CC2E5"/>
        </bottom>
      </border>
    </dxf>
    <dxf>
      <font>
        <strike val="0"/>
        <outline val="0"/>
        <shadow val="0"/>
        <u val="none"/>
        <vertAlign val="baseline"/>
        <color theme="3" tint="-0.249977111117893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Times New Roman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relativeIndent="0" justifyLastLine="0" shrinkToFit="0" readingOrder="0"/>
      <border diagonalUp="0" diagonalDown="0" outline="0">
        <left/>
        <right style="medium">
          <color rgb="FF9CC2E5"/>
        </right>
        <top/>
        <bottom/>
      </border>
    </dxf>
    <dxf>
      <font>
        <strike val="0"/>
        <outline val="0"/>
        <shadow val="0"/>
        <u val="none"/>
        <vertAlign val="baseline"/>
        <color theme="3" tint="-0.249977111117893"/>
      </font>
    </dxf>
    <dxf>
      <border>
        <bottom style="medium">
          <color rgb="FF9CC2E5"/>
        </bottom>
        <vertical/>
        <horizontal/>
      </border>
    </dxf>
    <dxf>
      <font>
        <strike val="0"/>
        <outline val="0"/>
        <shadow val="0"/>
        <u val="none"/>
        <vertAlign val="baseline"/>
        <color theme="3" tint="-0.249977111117893"/>
      </font>
    </dxf>
  </dxfs>
  <tableStyles count="0" defaultTableStyle="TableStyleMedium9" defaultPivotStyle="PivotStyleMedium7"/>
  <colors>
    <mruColors>
      <color rgb="FFF7FBD3"/>
      <color rgb="FF215867"/>
      <color rgb="FF21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VALOR SOCIAL GENERADO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1.1289642493405889E-16"/>
                  <c:y val="-4.6874988465800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DB-46D3-B894-205F1470AD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GRAFICOS!$J$2:$J$9</c:f>
              <c:strCache>
                <c:ptCount val="8"/>
                <c:pt idx="0">
                  <c:v>VALOR AGREGADO</c:v>
                </c:pt>
                <c:pt idx="1">
                  <c:v>VALOR MOVILIZADO (I)</c:v>
                </c:pt>
                <c:pt idx="2">
                  <c:v>VALOR MOVILIZADO (II)</c:v>
                </c:pt>
                <c:pt idx="3">
                  <c:v>VALOR SOCIAL DE MERCADO [VES]</c:v>
                </c:pt>
                <c:pt idx="4">
                  <c:v>VALOR SOCIAL ESPECÍFICO     [VSE]</c:v>
                </c:pt>
                <c:pt idx="5">
                  <c:v>VALOR SOCIAL INTEGRADO   [VASI]</c:v>
                </c:pt>
                <c:pt idx="6">
                  <c:v>VALOR EMOCIONAL</c:v>
                </c:pt>
                <c:pt idx="7">
                  <c:v>VALOR SOCIO-EMOCIONAL   [VASE]</c:v>
                </c:pt>
              </c:strCache>
            </c:strRef>
          </c:cat>
          <c:val>
            <c:numRef>
              <c:f>GRAFICOS!$K$2:$K$9</c:f>
              <c:numCache>
                <c:formatCode>"€"#,##0_);[Red]\("€"#,##0\)</c:formatCode>
                <c:ptCount val="8"/>
                <c:pt idx="0">
                  <c:v>51646679</c:v>
                </c:pt>
                <c:pt idx="1">
                  <c:v>16433281.94495758</c:v>
                </c:pt>
                <c:pt idx="2">
                  <c:v>1878751.9668985982</c:v>
                </c:pt>
                <c:pt idx="3">
                  <c:v>74179988</c:v>
                </c:pt>
                <c:pt idx="4">
                  <c:v>126268860.6748226</c:v>
                </c:pt>
                <c:pt idx="5">
                  <c:v>228041171.08473188</c:v>
                </c:pt>
                <c:pt idx="6">
                  <c:v>53019572.27720017</c:v>
                </c:pt>
                <c:pt idx="7">
                  <c:v>281060743.36193204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B-4BDA-BC51-A92E3B4FAA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62349816"/>
        <c:axId val="562350800"/>
      </c:barChart>
      <c:catAx>
        <c:axId val="562349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350800"/>
        <c:crosses val="autoZero"/>
        <c:auto val="1"/>
        <c:lblAlgn val="ctr"/>
        <c:lblOffset val="100"/>
        <c:noMultiLvlLbl val="0"/>
      </c:catAx>
      <c:valAx>
        <c:axId val="562350800"/>
        <c:scaling>
          <c:orientation val="minMax"/>
        </c:scaling>
        <c:delete val="1"/>
        <c:axPos val="b"/>
        <c:numFmt formatCode="&quot;€&quot;#,##0_);[Red]\(&quot;€&quot;#,##0\)" sourceLinked="1"/>
        <c:majorTickMark val="none"/>
        <c:minorTickMark val="none"/>
        <c:tickLblPos val="nextTo"/>
        <c:crossAx val="56234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499668707373506E-2"/>
          <c:y val="7.0297644372281269E-3"/>
          <c:w val="0.92880082520081353"/>
          <c:h val="0.99297023556277186"/>
        </c:manualLayout>
      </c:layout>
      <c:bubbleChart>
        <c:varyColors val="0"/>
        <c:ser>
          <c:idx val="0"/>
          <c:order val="0"/>
          <c:tx>
            <c:strRef>
              <c:f>[4]Hoja1!$G$5</c:f>
              <c:strCache>
                <c:ptCount val="1"/>
                <c:pt idx="0">
                  <c:v>Valor Socio-Emocional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hade val="51000"/>
                    <a:satMod val="130000"/>
                  </a:schemeClr>
                </a:gs>
                <a:gs pos="80000">
                  <a:schemeClr val="accent1">
                    <a:tint val="50000"/>
                    <a:shade val="93000"/>
                    <a:satMod val="130000"/>
                  </a:schemeClr>
                </a:gs>
                <a:gs pos="100000">
                  <a:schemeClr val="accent1">
                    <a:tint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[4]Hoja1!$H$5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[4]Hoja1!$J$5</c:f>
              <c:numCache>
                <c:formatCode>General</c:formatCode>
                <c:ptCount val="1"/>
                <c:pt idx="0">
                  <c:v>2975576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B89-4165-A104-B302BF8856CF}"/>
            </c:ext>
          </c:extLst>
        </c:ser>
        <c:ser>
          <c:idx val="1"/>
          <c:order val="1"/>
          <c:tx>
            <c:strRef>
              <c:f>[4]Hoja1!$G$6</c:f>
              <c:strCache>
                <c:ptCount val="1"/>
                <c:pt idx="0">
                  <c:v>Valor Social Integrado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0000"/>
                    <a:shade val="51000"/>
                    <a:satMod val="130000"/>
                  </a:schemeClr>
                </a:gs>
                <a:gs pos="80000">
                  <a:schemeClr val="accent1">
                    <a:tint val="70000"/>
                    <a:shade val="93000"/>
                    <a:satMod val="130000"/>
                  </a:schemeClr>
                </a:gs>
                <a:gs pos="100000">
                  <a:schemeClr val="accent1">
                    <a:tint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[4]Hoja1!$I$6</c:f>
              <c:numCache>
                <c:formatCode>General</c:formatCode>
                <c:ptCount val="1"/>
                <c:pt idx="0">
                  <c:v>0.87549678557122224</c:v>
                </c:pt>
              </c:numCache>
            </c:numRef>
          </c:yVal>
          <c:bubbleSize>
            <c:numRef>
              <c:f>[4]Hoja1!$J$6</c:f>
              <c:numCache>
                <c:formatCode>General</c:formatCode>
                <c:ptCount val="1"/>
                <c:pt idx="0">
                  <c:v>2280763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6B89-4165-A104-B302BF8856CF}"/>
            </c:ext>
          </c:extLst>
        </c:ser>
        <c:ser>
          <c:idx val="2"/>
          <c:order val="2"/>
          <c:tx>
            <c:strRef>
              <c:f>[4]Hoja1!$G$7</c:f>
              <c:strCache>
                <c:ptCount val="1"/>
                <c:pt idx="0">
                  <c:v>Valor Social Específico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0000"/>
                    <a:shade val="51000"/>
                    <a:satMod val="130000"/>
                  </a:schemeClr>
                </a:gs>
                <a:gs pos="80000">
                  <a:schemeClr val="accent1">
                    <a:tint val="90000"/>
                    <a:shade val="93000"/>
                    <a:satMod val="130000"/>
                  </a:schemeClr>
                </a:gs>
                <a:gs pos="100000">
                  <a:schemeClr val="accent1">
                    <a:tint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[4]Hoja1!$H$7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[4]Hoja1!$I$7</c:f>
              <c:numCache>
                <c:formatCode>General</c:formatCode>
                <c:ptCount val="1"/>
                <c:pt idx="0">
                  <c:v>0.79915420395903836</c:v>
                </c:pt>
              </c:numCache>
            </c:numRef>
          </c:yVal>
          <c:bubbleSize>
            <c:numRef>
              <c:f>[4]Hoja1!$J$7</c:f>
              <c:numCache>
                <c:formatCode>General</c:formatCode>
                <c:ptCount val="1"/>
                <c:pt idx="0">
                  <c:v>1900344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6B89-4165-A104-B302BF8856CF}"/>
            </c:ext>
          </c:extLst>
        </c:ser>
        <c:ser>
          <c:idx val="3"/>
          <c:order val="3"/>
          <c:tx>
            <c:strRef>
              <c:f>[4]Hoja1!$G$8</c:f>
              <c:strCache>
                <c:ptCount val="1"/>
                <c:pt idx="0">
                  <c:v>Valor Social de Mercado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90000"/>
                    <a:shade val="51000"/>
                    <a:satMod val="130000"/>
                  </a:schemeClr>
                </a:gs>
                <a:gs pos="80000">
                  <a:schemeClr val="accent1">
                    <a:shade val="90000"/>
                    <a:shade val="93000"/>
                    <a:satMod val="130000"/>
                  </a:schemeClr>
                </a:gs>
                <a:gs pos="100000">
                  <a:schemeClr val="accent1">
                    <a:shade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[4]Hoja1!$H$8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[4]Hoja1!$I$8</c:f>
              <c:numCache>
                <c:formatCode>General</c:formatCode>
                <c:ptCount val="1"/>
                <c:pt idx="0">
                  <c:v>0.35755676999709046</c:v>
                </c:pt>
              </c:numCache>
            </c:numRef>
          </c:yVal>
          <c:bubbleSize>
            <c:numRef>
              <c:f>[4]Hoja1!$J$8</c:f>
              <c:numCache>
                <c:formatCode>General</c:formatCode>
                <c:ptCount val="1"/>
                <c:pt idx="0">
                  <c:v>380418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6B89-4165-A104-B302BF8856CF}"/>
            </c:ext>
          </c:extLst>
        </c:ser>
        <c:ser>
          <c:idx val="4"/>
          <c:order val="4"/>
          <c:tx>
            <c:strRef>
              <c:f>[4]Hoja1!$G$9</c:f>
              <c:strCache>
                <c:ptCount val="1"/>
                <c:pt idx="0">
                  <c:v>Resultado Económico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0000"/>
                    <a:shade val="51000"/>
                    <a:satMod val="130000"/>
                  </a:schemeClr>
                </a:gs>
                <a:gs pos="80000">
                  <a:schemeClr val="accent1">
                    <a:shade val="70000"/>
                    <a:shade val="93000"/>
                    <a:satMod val="130000"/>
                  </a:schemeClr>
                </a:gs>
                <a:gs pos="100000">
                  <a:schemeClr val="accent1">
                    <a:shade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[4]Hoja1!$I$9</c:f>
              <c:numCache>
                <c:formatCode>General</c:formatCode>
                <c:ptCount val="1"/>
                <c:pt idx="0">
                  <c:v>9.1660976733525829E-2</c:v>
                </c:pt>
              </c:numCache>
            </c:numRef>
          </c:yVal>
          <c:bubbleSize>
            <c:numRef>
              <c:f>[4]Hoja1!$J$9</c:f>
              <c:numCache>
                <c:formatCode>General</c:formatCode>
                <c:ptCount val="1"/>
                <c:pt idx="0">
                  <c:v>25000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6B89-4165-A104-B302BF8856CF}"/>
            </c:ext>
          </c:extLst>
        </c:ser>
        <c:ser>
          <c:idx val="5"/>
          <c:order val="5"/>
          <c:tx>
            <c:strRef>
              <c:f>[4]Hoja1!$G$10</c:f>
              <c:strCache>
                <c:ptCount val="1"/>
                <c:pt idx="0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0000"/>
                    <a:shade val="51000"/>
                    <a:satMod val="130000"/>
                  </a:schemeClr>
                </a:gs>
                <a:gs pos="80000">
                  <a:schemeClr val="accent1">
                    <a:shade val="50000"/>
                    <a:shade val="93000"/>
                    <a:satMod val="130000"/>
                  </a:schemeClr>
                </a:gs>
                <a:gs pos="100000">
                  <a:schemeClr val="accent1">
                    <a:shade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[4]Hoja1!$H$10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[4]Hoja1!$I$10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[4]Hoja1!$J$10</c:f>
              <c:numCache>
                <c:formatCode>General</c:formatCode>
                <c:ptCount val="1"/>
                <c:pt idx="0">
                  <c:v>99.185866666666669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6B89-4165-A104-B302BF88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axId val="241470592"/>
        <c:axId val="241427104"/>
      </c:bubbleChart>
      <c:valAx>
        <c:axId val="241470592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427104"/>
        <c:crosses val="autoZero"/>
        <c:crossBetween val="midCat"/>
      </c:valAx>
      <c:valAx>
        <c:axId val="2414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47059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60694011023579253"/>
          <c:y val="0.33035370593870561"/>
          <c:w val="0.3731509795601855"/>
          <c:h val="0.42902510180514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VALOR SOCIAL DISTRIBUIDO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6499668707373506E-2"/>
          <c:y val="0.1632467519311864"/>
          <c:w val="0.58371304833110038"/>
          <c:h val="0.76783398888030263"/>
        </c:manualLayout>
      </c:layout>
      <c:bubbleChart>
        <c:varyColors val="0"/>
        <c:ser>
          <c:idx val="0"/>
          <c:order val="0"/>
          <c:tx>
            <c:strRef>
              <c:f>[4]Hoja1!$G$5</c:f>
              <c:strCache>
                <c:ptCount val="1"/>
                <c:pt idx="0">
                  <c:v>Valor Socio-Emocional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hade val="51000"/>
                    <a:satMod val="130000"/>
                  </a:schemeClr>
                </a:gs>
                <a:gs pos="80000">
                  <a:schemeClr val="accent1">
                    <a:tint val="50000"/>
                    <a:shade val="93000"/>
                    <a:satMod val="130000"/>
                  </a:schemeClr>
                </a:gs>
                <a:gs pos="100000">
                  <a:schemeClr val="accent1">
                    <a:tint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[4]Hoja1!$H$5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[4]Hoja1!$I$5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[4]Hoja1!$J$5</c:f>
              <c:numCache>
                <c:formatCode>General</c:formatCode>
                <c:ptCount val="1"/>
                <c:pt idx="0">
                  <c:v>2975576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BCEC-463E-8062-68B882F45D01}"/>
            </c:ext>
          </c:extLst>
        </c:ser>
        <c:ser>
          <c:idx val="1"/>
          <c:order val="1"/>
          <c:tx>
            <c:strRef>
              <c:f>[4]Hoja1!$G$6</c:f>
              <c:strCache>
                <c:ptCount val="1"/>
                <c:pt idx="0">
                  <c:v>Valor Social Integrado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0000"/>
                    <a:shade val="51000"/>
                    <a:satMod val="130000"/>
                  </a:schemeClr>
                </a:gs>
                <a:gs pos="80000">
                  <a:schemeClr val="accent1">
                    <a:tint val="70000"/>
                    <a:shade val="93000"/>
                    <a:satMod val="130000"/>
                  </a:schemeClr>
                </a:gs>
                <a:gs pos="100000">
                  <a:schemeClr val="accent1">
                    <a:tint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[4]Hoja1!$I$6</c:f>
              <c:numCache>
                <c:formatCode>General</c:formatCode>
                <c:ptCount val="1"/>
                <c:pt idx="0">
                  <c:v>0.87549678557122224</c:v>
                </c:pt>
              </c:numCache>
            </c:numRef>
          </c:yVal>
          <c:bubbleSize>
            <c:numRef>
              <c:f>[4]Hoja1!$J$6</c:f>
              <c:numCache>
                <c:formatCode>General</c:formatCode>
                <c:ptCount val="1"/>
                <c:pt idx="0">
                  <c:v>2280763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BCEC-463E-8062-68B882F45D01}"/>
            </c:ext>
          </c:extLst>
        </c:ser>
        <c:ser>
          <c:idx val="2"/>
          <c:order val="2"/>
          <c:tx>
            <c:strRef>
              <c:f>[4]Hoja1!$G$7</c:f>
              <c:strCache>
                <c:ptCount val="1"/>
                <c:pt idx="0">
                  <c:v>Valor Social Específico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0000"/>
                    <a:shade val="51000"/>
                    <a:satMod val="130000"/>
                  </a:schemeClr>
                </a:gs>
                <a:gs pos="80000">
                  <a:schemeClr val="accent1">
                    <a:tint val="90000"/>
                    <a:shade val="93000"/>
                    <a:satMod val="130000"/>
                  </a:schemeClr>
                </a:gs>
                <a:gs pos="100000">
                  <a:schemeClr val="accent1">
                    <a:tint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[4]Hoja1!$H$7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[4]Hoja1!$I$7</c:f>
              <c:numCache>
                <c:formatCode>General</c:formatCode>
                <c:ptCount val="1"/>
                <c:pt idx="0">
                  <c:v>0.79915420395903836</c:v>
                </c:pt>
              </c:numCache>
            </c:numRef>
          </c:yVal>
          <c:bubbleSize>
            <c:numRef>
              <c:f>[4]Hoja1!$J$7</c:f>
              <c:numCache>
                <c:formatCode>General</c:formatCode>
                <c:ptCount val="1"/>
                <c:pt idx="0">
                  <c:v>1900344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CEC-463E-8062-68B882F45D01}"/>
            </c:ext>
          </c:extLst>
        </c:ser>
        <c:ser>
          <c:idx val="3"/>
          <c:order val="3"/>
          <c:tx>
            <c:strRef>
              <c:f>[4]Hoja1!$G$8</c:f>
              <c:strCache>
                <c:ptCount val="1"/>
                <c:pt idx="0">
                  <c:v>Valor Social de Mercado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90000"/>
                    <a:shade val="51000"/>
                    <a:satMod val="130000"/>
                  </a:schemeClr>
                </a:gs>
                <a:gs pos="80000">
                  <a:schemeClr val="accent1">
                    <a:shade val="90000"/>
                    <a:shade val="93000"/>
                    <a:satMod val="130000"/>
                  </a:schemeClr>
                </a:gs>
                <a:gs pos="100000">
                  <a:schemeClr val="accent1">
                    <a:shade val="9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[4]Hoja1!$H$8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[4]Hoja1!$I$8</c:f>
              <c:numCache>
                <c:formatCode>General</c:formatCode>
                <c:ptCount val="1"/>
                <c:pt idx="0">
                  <c:v>0.35755676999709046</c:v>
                </c:pt>
              </c:numCache>
            </c:numRef>
          </c:yVal>
          <c:bubbleSize>
            <c:numRef>
              <c:f>[4]Hoja1!$J$8</c:f>
              <c:numCache>
                <c:formatCode>General</c:formatCode>
                <c:ptCount val="1"/>
                <c:pt idx="0">
                  <c:v>380418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BCEC-463E-8062-68B882F45D01}"/>
            </c:ext>
          </c:extLst>
        </c:ser>
        <c:ser>
          <c:idx val="4"/>
          <c:order val="4"/>
          <c:tx>
            <c:strRef>
              <c:f>[4]Hoja1!$G$9</c:f>
              <c:strCache>
                <c:ptCount val="1"/>
                <c:pt idx="0">
                  <c:v>Resultado Económico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0000"/>
                    <a:shade val="51000"/>
                    <a:satMod val="130000"/>
                  </a:schemeClr>
                </a:gs>
                <a:gs pos="80000">
                  <a:schemeClr val="accent1">
                    <a:shade val="70000"/>
                    <a:shade val="93000"/>
                    <a:satMod val="130000"/>
                  </a:schemeClr>
                </a:gs>
                <a:gs pos="100000">
                  <a:schemeClr val="accent1">
                    <a:shade val="7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[4]Hoja1!$H$9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[4]Hoja1!$I$9</c:f>
              <c:numCache>
                <c:formatCode>General</c:formatCode>
                <c:ptCount val="1"/>
                <c:pt idx="0">
                  <c:v>9.1660976733525829E-2</c:v>
                </c:pt>
              </c:numCache>
            </c:numRef>
          </c:yVal>
          <c:bubbleSize>
            <c:numRef>
              <c:f>[4]Hoja1!$J$9</c:f>
              <c:numCache>
                <c:formatCode>General</c:formatCode>
                <c:ptCount val="1"/>
                <c:pt idx="0">
                  <c:v>25000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BCEC-463E-8062-68B882F45D01}"/>
            </c:ext>
          </c:extLst>
        </c:ser>
        <c:ser>
          <c:idx val="5"/>
          <c:order val="5"/>
          <c:tx>
            <c:strRef>
              <c:f>[4]Hoja1!$G$10</c:f>
              <c:strCache>
                <c:ptCount val="1"/>
                <c:pt idx="0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0000"/>
                    <a:shade val="51000"/>
                    <a:satMod val="130000"/>
                  </a:schemeClr>
                </a:gs>
                <a:gs pos="80000">
                  <a:schemeClr val="accent1">
                    <a:shade val="50000"/>
                    <a:shade val="93000"/>
                    <a:satMod val="130000"/>
                  </a:schemeClr>
                </a:gs>
                <a:gs pos="100000">
                  <a:schemeClr val="accent1">
                    <a:shade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xVal>
            <c:numRef>
              <c:f>[4]Hoja1!$H$10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[4]Hoja1!$I$10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[4]Hoja1!$J$10</c:f>
              <c:numCache>
                <c:formatCode>General</c:formatCode>
                <c:ptCount val="1"/>
                <c:pt idx="0">
                  <c:v>99.185866666666669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BCEC-463E-8062-68B882F45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0"/>
        <c:showNegBubbles val="0"/>
        <c:axId val="241470592"/>
        <c:axId val="241427104"/>
      </c:bubbleChart>
      <c:valAx>
        <c:axId val="241470592"/>
        <c:scaling>
          <c:orientation val="minMax"/>
          <c:max val="2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427104"/>
        <c:crosses val="autoZero"/>
        <c:crossBetween val="midCat"/>
      </c:valAx>
      <c:valAx>
        <c:axId val="2414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47059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5239863177190347"/>
          <c:y val="0.28900215042559901"/>
          <c:w val="0.4561047720769435"/>
          <c:h val="0.49334974371441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txData>
          <cx:v>VALOR SOCIAL GENERADO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600" b="1" i="0" u="none" strike="noStrike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bri" panose="020F0502020204030204"/>
            </a:rPr>
            <a:t>VALOR SOCIAL GENERADO</a:t>
          </a:r>
        </a:p>
      </cx:txPr>
    </cx:title>
    <cx:plotArea>
      <cx:plotAreaRegion>
        <cx:series layoutId="funnel" uniqueId="{B0A60DFC-AD35-4E75-A5A5-7DEAC2789752}"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1" i="0" baseline="0">
                    <a:solidFill>
                      <a:schemeClr val="bg1"/>
                    </a:solidFill>
                  </a:defRPr>
                </a:pPr>
                <a:endParaRPr lang="es-ES" sz="1400" b="1" i="0" u="none" strike="noStrike" baseline="0">
                  <a:solidFill>
                    <a:schemeClr val="bg1"/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, </cx:separator>
          </cx:dataLabels>
          <cx:dataId val="0"/>
        </cx:series>
      </cx:plotAreaRegion>
      <cx:axis id="0">
        <cx:catScaling gapWidth="0.5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27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0.FICHA'!A4:E19"/><Relationship Id="rId2" Type="http://schemas.openxmlformats.org/officeDocument/2006/relationships/hyperlink" Target="#INDICE!A1"/><Relationship Id="rId1" Type="http://schemas.openxmlformats.org/officeDocument/2006/relationships/hyperlink" Target="#'1.DATOS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INFOINDICE"/><Relationship Id="rId5" Type="http://schemas.openxmlformats.org/officeDocument/2006/relationships/hyperlink" Target="#'0.FICHA'!A1"/><Relationship Id="rId4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14/relationships/chartEx" Target="../charts/chartEx1.xml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VNM!A1"/><Relationship Id="rId1" Type="http://schemas.openxmlformats.org/officeDocument/2006/relationships/hyperlink" Target="#'5.VASE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1809750</xdr:colOff>
      <xdr:row>1</xdr:row>
      <xdr:rowOff>19053</xdr:rowOff>
    </xdr:from>
    <xdr:to>
      <xdr:col>4</xdr:col>
      <xdr:colOff>2105026</xdr:colOff>
      <xdr:row>1</xdr:row>
      <xdr:rowOff>333375</xdr:rowOff>
    </xdr:to>
    <xdr:sp macro="" textlink="">
      <xdr:nvSpPr>
        <xdr:cNvPr id="2" name="1 Triángulo isóscel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7943852" y="381001"/>
          <a:ext cx="314322" cy="295276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28576</xdr:colOff>
      <xdr:row>0</xdr:row>
      <xdr:rowOff>0</xdr:rowOff>
    </xdr:from>
    <xdr:to>
      <xdr:col>4</xdr:col>
      <xdr:colOff>371475</xdr:colOff>
      <xdr:row>0</xdr:row>
      <xdr:rowOff>322943</xdr:rowOff>
    </xdr:to>
    <xdr:sp macro="" textlink="">
      <xdr:nvSpPr>
        <xdr:cNvPr id="3" name="2 Triángulo isóscele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6182179" y="-9978"/>
          <a:ext cx="322943" cy="342899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1600202</xdr:colOff>
      <xdr:row>22</xdr:row>
      <xdr:rowOff>19048</xdr:rowOff>
    </xdr:from>
    <xdr:to>
      <xdr:col>4</xdr:col>
      <xdr:colOff>1914524</xdr:colOff>
      <xdr:row>22</xdr:row>
      <xdr:rowOff>323850</xdr:rowOff>
    </xdr:to>
    <xdr:sp macro="" textlink="">
      <xdr:nvSpPr>
        <xdr:cNvPr id="4" name="3 Triángulo isóscele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743827" y="4933948"/>
          <a:ext cx="314322" cy="304802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1609725</xdr:colOff>
      <xdr:row>33</xdr:row>
      <xdr:rowOff>19050</xdr:rowOff>
    </xdr:from>
    <xdr:to>
      <xdr:col>4</xdr:col>
      <xdr:colOff>1924047</xdr:colOff>
      <xdr:row>33</xdr:row>
      <xdr:rowOff>323852</xdr:rowOff>
    </xdr:to>
    <xdr:sp macro="" textlink="">
      <xdr:nvSpPr>
        <xdr:cNvPr id="5" name="4 Triángulo isóscele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53350" y="7200900"/>
          <a:ext cx="314322" cy="304802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4</xdr:col>
      <xdr:colOff>1609725</xdr:colOff>
      <xdr:row>61</xdr:row>
      <xdr:rowOff>19050</xdr:rowOff>
    </xdr:from>
    <xdr:to>
      <xdr:col>4</xdr:col>
      <xdr:colOff>1924047</xdr:colOff>
      <xdr:row>61</xdr:row>
      <xdr:rowOff>323852</xdr:rowOff>
    </xdr:to>
    <xdr:sp macro="" textlink="">
      <xdr:nvSpPr>
        <xdr:cNvPr id="6" name="5 Triángulo isóscele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53350" y="7515225"/>
          <a:ext cx="314322" cy="304802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190501</xdr:colOff>
      <xdr:row>65</xdr:row>
      <xdr:rowOff>38100</xdr:rowOff>
    </xdr:from>
    <xdr:to>
      <xdr:col>4</xdr:col>
      <xdr:colOff>623334</xdr:colOff>
      <xdr:row>95</xdr:row>
      <xdr:rowOff>171450</xdr:rowOff>
    </xdr:to>
    <xdr:pic>
      <xdr:nvPicPr>
        <xdr:cNvPr id="30726" name="Picture 6">
          <a:extLst>
            <a:ext uri="{FF2B5EF4-FFF2-40B4-BE49-F238E27FC236}">
              <a16:creationId xmlns:a16="http://schemas.microsoft.com/office/drawing/2014/main" id="{00000000-0008-0000-0100-000006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1" y="13611225"/>
          <a:ext cx="6576458" cy="5848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1771649</xdr:colOff>
      <xdr:row>97</xdr:row>
      <xdr:rowOff>19050</xdr:rowOff>
    </xdr:from>
    <xdr:to>
      <xdr:col>4</xdr:col>
      <xdr:colOff>2038350</xdr:colOff>
      <xdr:row>97</xdr:row>
      <xdr:rowOff>295275</xdr:rowOff>
    </xdr:to>
    <xdr:sp macro="" textlink="">
      <xdr:nvSpPr>
        <xdr:cNvPr id="8" name="7 Triángulo isóscel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5400000">
          <a:off x="7910512" y="19702462"/>
          <a:ext cx="276225" cy="266701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38</xdr:row>
          <xdr:rowOff>123825</xdr:rowOff>
        </xdr:from>
        <xdr:to>
          <xdr:col>3</xdr:col>
          <xdr:colOff>2552700</xdr:colOff>
          <xdr:row>60</xdr:row>
          <xdr:rowOff>104775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1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28</xdr:row>
          <xdr:rowOff>9525</xdr:rowOff>
        </xdr:from>
        <xdr:to>
          <xdr:col>1</xdr:col>
          <xdr:colOff>676275</xdr:colOff>
          <xdr:row>31</xdr:row>
          <xdr:rowOff>104775</xdr:rowOff>
        </xdr:to>
        <xdr:sp macro="" textlink="">
          <xdr:nvSpPr>
            <xdr:cNvPr id="30724" name="Object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1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914400</xdr:colOff>
      <xdr:row>4</xdr:row>
      <xdr:rowOff>79374</xdr:rowOff>
    </xdr:from>
    <xdr:to>
      <xdr:col>8</xdr:col>
      <xdr:colOff>916877</xdr:colOff>
      <xdr:row>4</xdr:row>
      <xdr:rowOff>326299</xdr:rowOff>
    </xdr:to>
    <xdr:pic>
      <xdr:nvPicPr>
        <xdr:cNvPr id="6" name="5 Imagen">
          <a:hlinkClick xmlns:r="http://schemas.openxmlformats.org/officeDocument/2006/relationships" r:id="rId1" tooltip="Información general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77375" y="327024"/>
          <a:ext cx="1116902" cy="265975"/>
        </a:xfrm>
        <a:prstGeom prst="rect">
          <a:avLst/>
        </a:prstGeom>
      </xdr:spPr>
    </xdr:pic>
    <xdr:clientData/>
  </xdr:twoCellAnchor>
  <xdr:twoCellAnchor editAs="oneCell">
    <xdr:from>
      <xdr:col>8</xdr:col>
      <xdr:colOff>1316474</xdr:colOff>
      <xdr:row>0</xdr:row>
      <xdr:rowOff>64633</xdr:rowOff>
    </xdr:from>
    <xdr:to>
      <xdr:col>11</xdr:col>
      <xdr:colOff>28145</xdr:colOff>
      <xdr:row>3</xdr:row>
      <xdr:rowOff>128626</xdr:rowOff>
    </xdr:to>
    <xdr:pic>
      <xdr:nvPicPr>
        <xdr:cNvPr id="7" name="6 Imagen" descr="logo 220x109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64831" y="64633"/>
          <a:ext cx="1292946" cy="635493"/>
        </a:xfrm>
        <a:prstGeom prst="rect">
          <a:avLst/>
        </a:prstGeom>
      </xdr:spPr>
    </xdr:pic>
    <xdr:clientData/>
  </xdr:twoCellAnchor>
  <xdr:twoCellAnchor>
    <xdr:from>
      <xdr:col>2</xdr:col>
      <xdr:colOff>47277</xdr:colOff>
      <xdr:row>4</xdr:row>
      <xdr:rowOff>34150</xdr:rowOff>
    </xdr:from>
    <xdr:to>
      <xdr:col>2</xdr:col>
      <xdr:colOff>280151</xdr:colOff>
      <xdr:row>4</xdr:row>
      <xdr:rowOff>313764</xdr:rowOff>
    </xdr:to>
    <xdr:sp macro="" textlink="">
      <xdr:nvSpPr>
        <xdr:cNvPr id="8" name="7 Triángulo isóscele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6200000">
          <a:off x="270436" y="830726"/>
          <a:ext cx="279614" cy="232874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2073087</xdr:colOff>
      <xdr:row>4</xdr:row>
      <xdr:rowOff>37517</xdr:rowOff>
    </xdr:from>
    <xdr:to>
      <xdr:col>8</xdr:col>
      <xdr:colOff>2331221</xdr:colOff>
      <xdr:row>4</xdr:row>
      <xdr:rowOff>336176</xdr:rowOff>
    </xdr:to>
    <xdr:sp macro="" textlink="">
      <xdr:nvSpPr>
        <xdr:cNvPr id="9" name="8 Triángulo isóscele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rot="5400000">
          <a:off x="12631177" y="830986"/>
          <a:ext cx="298659" cy="258134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3</xdr:col>
      <xdr:colOff>0</xdr:colOff>
      <xdr:row>10</xdr:row>
      <xdr:rowOff>113390</xdr:rowOff>
    </xdr:from>
    <xdr:to>
      <xdr:col>4</xdr:col>
      <xdr:colOff>0</xdr:colOff>
      <xdr:row>10</xdr:row>
      <xdr:rowOff>113390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/>
        </xdr:cNvCxnSpPr>
      </xdr:nvCxnSpPr>
      <xdr:spPr>
        <a:xfrm>
          <a:off x="2721429" y="2721426"/>
          <a:ext cx="476250" cy="0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113390</xdr:rowOff>
    </xdr:from>
    <xdr:to>
      <xdr:col>4</xdr:col>
      <xdr:colOff>0</xdr:colOff>
      <xdr:row>12</xdr:row>
      <xdr:rowOff>113390</xdr:rowOff>
    </xdr:to>
    <xdr:cxnSp macro="">
      <xdr:nvCxnSpPr>
        <xdr:cNvPr id="27" name="26 Conector recto de flecha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>
          <a:cxnSpLocks/>
        </xdr:cNvCxnSpPr>
      </xdr:nvCxnSpPr>
      <xdr:spPr>
        <a:xfrm>
          <a:off x="2721429" y="3129640"/>
          <a:ext cx="476250" cy="0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113390</xdr:rowOff>
    </xdr:from>
    <xdr:to>
      <xdr:col>4</xdr:col>
      <xdr:colOff>0</xdr:colOff>
      <xdr:row>14</xdr:row>
      <xdr:rowOff>113390</xdr:rowOff>
    </xdr:to>
    <xdr:cxnSp macro="">
      <xdr:nvCxnSpPr>
        <xdr:cNvPr id="28" name="27 Conector recto de flecha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>
          <a:cxnSpLocks/>
        </xdr:cNvCxnSpPr>
      </xdr:nvCxnSpPr>
      <xdr:spPr>
        <a:xfrm>
          <a:off x="2721429" y="3537854"/>
          <a:ext cx="476250" cy="0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102053</xdr:rowOff>
    </xdr:from>
    <xdr:to>
      <xdr:col>4</xdr:col>
      <xdr:colOff>11340</xdr:colOff>
      <xdr:row>16</xdr:row>
      <xdr:rowOff>102053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cxnSpLocks/>
        </xdr:cNvCxnSpPr>
      </xdr:nvCxnSpPr>
      <xdr:spPr>
        <a:xfrm>
          <a:off x="2721429" y="3934732"/>
          <a:ext cx="521607" cy="0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11339</xdr:colOff>
      <xdr:row>12</xdr:row>
      <xdr:rowOff>113390</xdr:rowOff>
    </xdr:from>
    <xdr:to>
      <xdr:col>6</xdr:col>
      <xdr:colOff>1813</xdr:colOff>
      <xdr:row>12</xdr:row>
      <xdr:rowOff>113390</xdr:rowOff>
    </xdr:to>
    <xdr:cxnSp macro="">
      <xdr:nvCxnSpPr>
        <xdr:cNvPr id="45" name="44 Conector recto de flecha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cxnSpLocks/>
        </xdr:cNvCxnSpPr>
      </xdr:nvCxnSpPr>
      <xdr:spPr>
        <a:xfrm>
          <a:off x="8538482" y="3129640"/>
          <a:ext cx="500742" cy="0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11339</xdr:colOff>
      <xdr:row>10</xdr:row>
      <xdr:rowOff>113393</xdr:rowOff>
    </xdr:from>
    <xdr:to>
      <xdr:col>6</xdr:col>
      <xdr:colOff>226785</xdr:colOff>
      <xdr:row>12</xdr:row>
      <xdr:rowOff>0</xdr:rowOff>
    </xdr:to>
    <xdr:cxnSp macro="">
      <xdr:nvCxnSpPr>
        <xdr:cNvPr id="46" name="45 Conector recto de flecha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>
          <a:cxnSpLocks/>
        </xdr:cNvCxnSpPr>
      </xdr:nvCxnSpPr>
      <xdr:spPr>
        <a:xfrm>
          <a:off x="8538482" y="2721429"/>
          <a:ext cx="725714" cy="294821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11339</xdr:colOff>
      <xdr:row>13</xdr:row>
      <xdr:rowOff>0</xdr:rowOff>
    </xdr:from>
    <xdr:to>
      <xdr:col>6</xdr:col>
      <xdr:colOff>11339</xdr:colOff>
      <xdr:row>14</xdr:row>
      <xdr:rowOff>136073</xdr:rowOff>
    </xdr:to>
    <xdr:cxnSp macro="">
      <xdr:nvCxnSpPr>
        <xdr:cNvPr id="47" name="46 Conector recto de flecha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cxnSpLocks/>
        </xdr:cNvCxnSpPr>
      </xdr:nvCxnSpPr>
      <xdr:spPr>
        <a:xfrm flipV="1">
          <a:off x="8538482" y="3231696"/>
          <a:ext cx="510268" cy="328841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257735</xdr:colOff>
      <xdr:row>16</xdr:row>
      <xdr:rowOff>101124</xdr:rowOff>
    </xdr:to>
    <xdr:cxnSp macro="">
      <xdr:nvCxnSpPr>
        <xdr:cNvPr id="55" name="54 Conector recto de flecha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CxnSpPr>
          <a:cxnSpLocks/>
        </xdr:cNvCxnSpPr>
      </xdr:nvCxnSpPr>
      <xdr:spPr>
        <a:xfrm flipV="1">
          <a:off x="7507941" y="2835088"/>
          <a:ext cx="762000" cy="706242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prstDash val="dash"/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1221441</xdr:colOff>
      <xdr:row>17</xdr:row>
      <xdr:rowOff>0</xdr:rowOff>
    </xdr:from>
    <xdr:to>
      <xdr:col>6</xdr:col>
      <xdr:colOff>1221441</xdr:colOff>
      <xdr:row>18</xdr:row>
      <xdr:rowOff>11206</xdr:rowOff>
    </xdr:to>
    <xdr:cxnSp macro="">
      <xdr:nvCxnSpPr>
        <xdr:cNvPr id="63" name="62 Conector recto de flecha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>
          <a:cxnSpLocks/>
        </xdr:cNvCxnSpPr>
      </xdr:nvCxnSpPr>
      <xdr:spPr>
        <a:xfrm>
          <a:off x="9233647" y="3641912"/>
          <a:ext cx="0" cy="212912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1202231</xdr:colOff>
      <xdr:row>18</xdr:row>
      <xdr:rowOff>196386</xdr:rowOff>
    </xdr:from>
    <xdr:to>
      <xdr:col>6</xdr:col>
      <xdr:colOff>1210235</xdr:colOff>
      <xdr:row>20</xdr:row>
      <xdr:rowOff>11206</xdr:rowOff>
    </xdr:to>
    <xdr:cxnSp macro="">
      <xdr:nvCxnSpPr>
        <xdr:cNvPr id="66" name="65 Conector recto de flecha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>
          <a:cxnSpLocks/>
        </xdr:cNvCxnSpPr>
      </xdr:nvCxnSpPr>
      <xdr:spPr>
        <a:xfrm>
          <a:off x="9214437" y="4040004"/>
          <a:ext cx="8004" cy="218231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2084294</xdr:colOff>
      <xdr:row>24</xdr:row>
      <xdr:rowOff>67239</xdr:rowOff>
    </xdr:from>
    <xdr:to>
      <xdr:col>9</xdr:col>
      <xdr:colOff>22413</xdr:colOff>
      <xdr:row>25</xdr:row>
      <xdr:rowOff>144261</xdr:rowOff>
    </xdr:to>
    <xdr:sp macro="" textlink="">
      <xdr:nvSpPr>
        <xdr:cNvPr id="35" name="34 Triángulo isóscele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 rot="5400000">
          <a:off x="12668960" y="5114779"/>
          <a:ext cx="278728" cy="291354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1210248</xdr:colOff>
      <xdr:row>21</xdr:row>
      <xdr:rowOff>0</xdr:rowOff>
    </xdr:from>
    <xdr:to>
      <xdr:col>6</xdr:col>
      <xdr:colOff>1218252</xdr:colOff>
      <xdr:row>22</xdr:row>
      <xdr:rowOff>27731</xdr:rowOff>
    </xdr:to>
    <xdr:cxnSp macro="">
      <xdr:nvCxnSpPr>
        <xdr:cNvPr id="26" name="25 Conector recto de flecha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/>
        </xdr:cNvCxnSpPr>
      </xdr:nvCxnSpPr>
      <xdr:spPr>
        <a:xfrm>
          <a:off x="9222454" y="4448735"/>
          <a:ext cx="8004" cy="218231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1199042</xdr:colOff>
      <xdr:row>13</xdr:row>
      <xdr:rowOff>0</xdr:rowOff>
    </xdr:from>
    <xdr:to>
      <xdr:col>6</xdr:col>
      <xdr:colOff>1210235</xdr:colOff>
      <xdr:row>16</xdr:row>
      <xdr:rowOff>11206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cxnSpLocks/>
        </xdr:cNvCxnSpPr>
      </xdr:nvCxnSpPr>
      <xdr:spPr>
        <a:xfrm>
          <a:off x="9211248" y="2835088"/>
          <a:ext cx="11193" cy="616324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11206</xdr:colOff>
      <xdr:row>16</xdr:row>
      <xdr:rowOff>100853</xdr:rowOff>
    </xdr:from>
    <xdr:to>
      <xdr:col>6</xdr:col>
      <xdr:colOff>11206</xdr:colOff>
      <xdr:row>16</xdr:row>
      <xdr:rowOff>112060</xdr:rowOff>
    </xdr:to>
    <xdr:cxnSp macro="">
      <xdr:nvCxnSpPr>
        <xdr:cNvPr id="29" name="28 Conector recto de flecha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>
          <a:cxnSpLocks/>
        </xdr:cNvCxnSpPr>
      </xdr:nvCxnSpPr>
      <xdr:spPr>
        <a:xfrm flipV="1">
          <a:off x="7519147" y="3541059"/>
          <a:ext cx="504265" cy="11207"/>
        </a:xfrm>
        <a:prstGeom prst="straightConnector1">
          <a:avLst/>
        </a:prstGeom>
        <a:ln w="19050">
          <a:solidFill>
            <a:schemeClr val="tx2">
              <a:lumMod val="75000"/>
            </a:schemeClr>
          </a:solidFill>
          <a:prstDash val="dash"/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179294</xdr:rowOff>
    </xdr:from>
    <xdr:to>
      <xdr:col>6</xdr:col>
      <xdr:colOff>11206</xdr:colOff>
      <xdr:row>18</xdr:row>
      <xdr:rowOff>89647</xdr:rowOff>
    </xdr:to>
    <xdr:cxnSp macro="">
      <xdr:nvCxnSpPr>
        <xdr:cNvPr id="62" name="61 Conector curvado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 flipV="1">
          <a:off x="2308412" y="3641912"/>
          <a:ext cx="5715000" cy="313764"/>
        </a:xfrm>
        <a:prstGeom prst="curvedConnector3">
          <a:avLst>
            <a:gd name="adj1" fmla="val 90392"/>
          </a:avLst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11206</xdr:colOff>
      <xdr:row>17</xdr:row>
      <xdr:rowOff>11205</xdr:rowOff>
    </xdr:from>
    <xdr:to>
      <xdr:col>6</xdr:col>
      <xdr:colOff>302559</xdr:colOff>
      <xdr:row>20</xdr:row>
      <xdr:rowOff>89648</xdr:rowOff>
    </xdr:to>
    <xdr:cxnSp macro="">
      <xdr:nvCxnSpPr>
        <xdr:cNvPr id="65" name="64 Conector curvado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 flipV="1">
          <a:off x="2319618" y="3675529"/>
          <a:ext cx="5995147" cy="672354"/>
        </a:xfrm>
        <a:prstGeom prst="curvedConnector3">
          <a:avLst>
            <a:gd name="adj1" fmla="val 90187"/>
          </a:avLst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11206</xdr:colOff>
      <xdr:row>20</xdr:row>
      <xdr:rowOff>112059</xdr:rowOff>
    </xdr:from>
    <xdr:to>
      <xdr:col>6</xdr:col>
      <xdr:colOff>22412</xdr:colOff>
      <xdr:row>22</xdr:row>
      <xdr:rowOff>123265</xdr:rowOff>
    </xdr:to>
    <xdr:cxnSp macro="">
      <xdr:nvCxnSpPr>
        <xdr:cNvPr id="78" name="77 Conector curvad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CxnSpPr/>
      </xdr:nvCxnSpPr>
      <xdr:spPr>
        <a:xfrm flipV="1">
          <a:off x="2319618" y="4370294"/>
          <a:ext cx="5715000" cy="403412"/>
        </a:xfrm>
        <a:prstGeom prst="curvedConnector3">
          <a:avLst>
            <a:gd name="adj1" fmla="val 50000"/>
          </a:avLst>
        </a:prstGeom>
        <a:ln w="19050">
          <a:solidFill>
            <a:schemeClr val="tx2">
              <a:lumMod val="7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160020</xdr:colOff>
      <xdr:row>3</xdr:row>
      <xdr:rowOff>123987</xdr:rowOff>
    </xdr:from>
    <xdr:to>
      <xdr:col>23</xdr:col>
      <xdr:colOff>677765</xdr:colOff>
      <xdr:row>13</xdr:row>
      <xdr:rowOff>263947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8440" y="931707"/>
          <a:ext cx="5501225" cy="2006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670561</xdr:colOff>
      <xdr:row>1</xdr:row>
      <xdr:rowOff>64770</xdr:rowOff>
    </xdr:from>
    <xdr:to>
      <xdr:col>9</xdr:col>
      <xdr:colOff>0</xdr:colOff>
      <xdr:row>25</xdr:row>
      <xdr:rowOff>15240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670561" y="826770"/>
          <a:ext cx="6492239" cy="4522470"/>
          <a:chOff x="1523206" y="-99392"/>
          <a:chExt cx="9178411" cy="6160467"/>
        </a:xfrm>
      </xdr:grpSpPr>
      <xdr:grpSp>
        <xdr:nvGrpSpPr>
          <xdr:cNvPr id="3" name="Group 10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GrpSpPr>
            <a:grpSpLocks/>
          </xdr:cNvGrpSpPr>
        </xdr:nvGrpSpPr>
        <xdr:grpSpPr bwMode="auto">
          <a:xfrm>
            <a:off x="1523206" y="1"/>
            <a:ext cx="9144000" cy="5948363"/>
            <a:chOff x="0" y="0"/>
            <a:chExt cx="5760" cy="3747"/>
          </a:xfrm>
        </xdr:grpSpPr>
        <xdr:sp macro="" textlink="">
          <xdr:nvSpPr>
            <xdr:cNvPr id="38" name="Rectangle 2">
              <a:extLst>
                <a:ext uri="{FF2B5EF4-FFF2-40B4-BE49-F238E27FC236}">
                  <a16:creationId xmlns:a16="http://schemas.microsoft.com/office/drawing/2014/main" id="{00000000-0008-0000-1600-000026000000}"/>
                </a:ext>
              </a:extLst>
            </xdr:cNvPr>
            <xdr:cNvSpPr>
              <a:spLocks noChangeArrowheads="1"/>
            </xdr:cNvSpPr>
          </xdr:nvSpPr>
          <xdr:spPr bwMode="gray">
            <a:xfrm flipV="1">
              <a:off x="0" y="0"/>
              <a:ext cx="5760" cy="1658"/>
            </a:xfrm>
            <a:prstGeom prst="rect">
              <a:avLst/>
            </a:prstGeom>
            <a:solidFill>
              <a:srgbClr val="000000"/>
            </a:solidFill>
            <a:ln w="9525">
              <a:noFill/>
              <a:miter lim="800000"/>
              <a:headEnd/>
              <a:tailEnd/>
            </a:ln>
          </xdr:spPr>
          <xdr:txBody>
            <a:bodyPr rot="10800000" wrap="square" lIns="90000" tIns="90000" rIns="72000" bIns="9000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0" hangingPunct="0"/>
              <a:endParaRPr lang="en-US" sz="1200">
                <a:solidFill>
                  <a:schemeClr val="bg1"/>
                </a:solidFill>
                <a:cs typeface="Arial" charset="0"/>
              </a:endParaRPr>
            </a:p>
          </xdr:txBody>
        </xdr:sp>
        <xdr:sp macro="" textlink="">
          <xdr:nvSpPr>
            <xdr:cNvPr id="39" name="Rectangle 3">
              <a:extLst>
                <a:ext uri="{FF2B5EF4-FFF2-40B4-BE49-F238E27FC236}">
                  <a16:creationId xmlns:a16="http://schemas.microsoft.com/office/drawing/2014/main" id="{00000000-0008-0000-1600-000027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0" y="1842"/>
              <a:ext cx="5760" cy="928"/>
            </a:xfrm>
            <a:prstGeom prst="rect">
              <a:avLst/>
            </a:prstGeom>
            <a:gradFill rotWithShape="1">
              <a:gsLst>
                <a:gs pos="0">
                  <a:srgbClr val="5F5F5F"/>
                </a:gs>
                <a:gs pos="100000">
                  <a:srgbClr val="DDDDDD"/>
                </a:gs>
              </a:gsLst>
              <a:lin ang="5400000" scaled="1"/>
            </a:gradFill>
            <a:ln w="9525">
              <a:noFill/>
              <a:miter lim="800000"/>
              <a:headEnd/>
              <a:tailEnd/>
            </a:ln>
          </xdr:spPr>
          <xdr:txBody>
            <a:bodyPr wrap="square" lIns="90000" tIns="90000" rIns="72000" bIns="9000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0" hangingPunct="0"/>
              <a:endParaRPr lang="en-US" sz="1200">
                <a:solidFill>
                  <a:schemeClr val="bg1"/>
                </a:solidFill>
                <a:cs typeface="Arial" charset="0"/>
              </a:endParaRPr>
            </a:p>
          </xdr:txBody>
        </xdr:sp>
        <xdr:sp macro="" textlink="">
          <xdr:nvSpPr>
            <xdr:cNvPr id="40" name="Rectangle 8">
              <a:extLst>
                <a:ext uri="{FF2B5EF4-FFF2-40B4-BE49-F238E27FC236}">
                  <a16:creationId xmlns:a16="http://schemas.microsoft.com/office/drawing/2014/main" id="{00000000-0008-0000-1600-000028000000}"/>
                </a:ext>
              </a:extLst>
            </xdr:cNvPr>
            <xdr:cNvSpPr>
              <a:spLocks noChangeArrowheads="1"/>
            </xdr:cNvSpPr>
          </xdr:nvSpPr>
          <xdr:spPr bwMode="gray">
            <a:xfrm flipV="1">
              <a:off x="0" y="1603"/>
              <a:ext cx="5760" cy="246"/>
            </a:xfrm>
            <a:prstGeom prst="rect">
              <a:avLst/>
            </a:prstGeom>
            <a:gradFill rotWithShape="1">
              <a:gsLst>
                <a:gs pos="0">
                  <a:srgbClr val="5F5F5F"/>
                </a:gs>
                <a:gs pos="100000">
                  <a:srgbClr val="000000"/>
                </a:gs>
              </a:gsLst>
              <a:lin ang="5400000" scaled="1"/>
            </a:gradFill>
            <a:ln w="9525">
              <a:noFill/>
              <a:miter lim="800000"/>
              <a:headEnd/>
              <a:tailEnd/>
            </a:ln>
          </xdr:spPr>
          <xdr:txBody>
            <a:bodyPr rot="10800000" wrap="square" lIns="90000" tIns="90000" rIns="72000" bIns="9000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0" hangingPunct="0"/>
              <a:endParaRPr lang="en-US" sz="1200">
                <a:solidFill>
                  <a:schemeClr val="bg1"/>
                </a:solidFill>
                <a:cs typeface="Arial" charset="0"/>
              </a:endParaRPr>
            </a:p>
          </xdr:txBody>
        </xdr:sp>
        <xdr:sp macro="" textlink="">
          <xdr:nvSpPr>
            <xdr:cNvPr id="41" name="Rectangle 5">
              <a:extLst>
                <a:ext uri="{FF2B5EF4-FFF2-40B4-BE49-F238E27FC236}">
                  <a16:creationId xmlns:a16="http://schemas.microsoft.com/office/drawing/2014/main" id="{00000000-0008-0000-1600-000029000000}"/>
                </a:ext>
              </a:extLst>
            </xdr:cNvPr>
            <xdr:cNvSpPr>
              <a:spLocks noChangeArrowheads="1"/>
            </xdr:cNvSpPr>
          </xdr:nvSpPr>
          <xdr:spPr bwMode="gray">
            <a:xfrm flipV="1">
              <a:off x="0" y="2762"/>
              <a:ext cx="5760" cy="985"/>
            </a:xfrm>
            <a:prstGeom prst="rect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DDDDDD"/>
                </a:gs>
              </a:gsLst>
              <a:lin ang="5400000" scaled="1"/>
            </a:gradFill>
            <a:ln w="9525">
              <a:noFill/>
              <a:miter lim="800000"/>
              <a:headEnd/>
              <a:tailEnd/>
            </a:ln>
          </xdr:spPr>
          <xdr:txBody>
            <a:bodyPr rot="10800000" wrap="square" lIns="90000" tIns="90000" rIns="72000" bIns="9000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eaLnBrk="0" hangingPunct="0"/>
              <a:endParaRPr lang="en-US" sz="1200">
                <a:solidFill>
                  <a:schemeClr val="bg1"/>
                </a:solidFill>
                <a:cs typeface="Arial" charset="0"/>
              </a:endParaRPr>
            </a:p>
          </xdr:txBody>
        </xdr:sp>
      </xdr:grp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Arrowheads="1"/>
          </xdr:cNvSpPr>
        </xdr:nvSpPr>
        <xdr:spPr bwMode="gray">
          <a:xfrm>
            <a:off x="1828005" y="620689"/>
            <a:ext cx="7884384" cy="358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801688" eaLnBrk="0" hangingPunct="0">
              <a:defRPr/>
            </a:pPr>
            <a:r>
              <a:rPr lang="en-US" sz="1200" kern="0">
                <a:solidFill>
                  <a:schemeClr val="bg1"/>
                </a:solidFill>
                <a:latin typeface="Arial" pitchFamily="34" charset="0"/>
              </a:rPr>
              <a:t>Generación de Valor Social  - año 2016</a:t>
            </a:r>
          </a:p>
          <a:p>
            <a:pPr defTabSz="801688" eaLnBrk="0" hangingPunct="0">
              <a:defRPr/>
            </a:pPr>
            <a:r>
              <a:rPr lang="en-US" sz="1200" kern="0">
                <a:solidFill>
                  <a:schemeClr val="bg1"/>
                </a:solidFill>
                <a:latin typeface="Arial" pitchFamily="34" charset="0"/>
              </a:rPr>
              <a:t>Ratios</a:t>
            </a:r>
            <a:r>
              <a:rPr lang="en-US" sz="1200" kern="0" baseline="0">
                <a:solidFill>
                  <a:schemeClr val="bg1"/>
                </a:solidFill>
                <a:latin typeface="Arial" pitchFamily="34" charset="0"/>
              </a:rPr>
              <a:t> en relación a la Financiación Pública (1) / Ratio en relación al presupuesto (2)</a:t>
            </a:r>
            <a:endParaRPr lang="en-US" sz="1200" kern="0">
              <a:solidFill>
                <a:schemeClr val="bg1"/>
              </a:solidFill>
              <a:latin typeface="Arial" pitchFamily="34" charset="0"/>
            </a:endParaRPr>
          </a:p>
        </xdr:txBody>
      </xdr:sp>
      <xdr:sp macro="" textlink="">
        <xdr:nvSpPr>
          <xdr:cNvPr id="5" name="Rectangle 40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 txBox="1">
            <a:spLocks noChangeArrowheads="1"/>
          </xdr:cNvSpPr>
        </xdr:nvSpPr>
        <xdr:spPr bwMode="gray">
          <a:xfrm>
            <a:off x="1823245" y="-99392"/>
            <a:ext cx="8520112" cy="8545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rIns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90000"/>
              </a:lnSpc>
            </a:pPr>
            <a:r>
              <a:rPr lang="en-US" sz="1200" b="1">
                <a:solidFill>
                  <a:srgbClr val="FFFFFF"/>
                </a:solidFill>
                <a:cs typeface="Arial" charset="0"/>
              </a:rPr>
              <a:t>UCAN</a:t>
            </a:r>
            <a:r>
              <a:rPr lang="en-US" sz="1200" b="1" baseline="0">
                <a:solidFill>
                  <a:srgbClr val="FFFFFF"/>
                </a:solidFill>
                <a:cs typeface="Arial" charset="0"/>
              </a:rPr>
              <a:t> - UNIÓN COOPERATIVAS AGROALIMENTARIAS DE NAVARRA</a:t>
            </a:r>
            <a:endParaRPr lang="en-US" sz="1200" b="1">
              <a:solidFill>
                <a:srgbClr val="FFFFFF"/>
              </a:solidFill>
              <a:cs typeface="Arial" charset="0"/>
            </a:endParaRPr>
          </a:p>
        </xdr:txBody>
      </xdr:sp>
      <xdr:pic>
        <xdr:nvPicPr>
          <xdr:cNvPr id="6" name="Picture 9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gray">
          <a:xfrm>
            <a:off x="3339307" y="5572125"/>
            <a:ext cx="5222875" cy="488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Oval 14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>
            <a:spLocks noChangeArrowheads="1"/>
          </xdr:cNvSpPr>
        </xdr:nvSpPr>
        <xdr:spPr bwMode="gray">
          <a:xfrm>
            <a:off x="3620230" y="1185864"/>
            <a:ext cx="4941952" cy="4618037"/>
          </a:xfrm>
          <a:prstGeom prst="ellipse">
            <a:avLst/>
          </a:prstGeom>
          <a:solidFill>
            <a:srgbClr val="9DC2EB"/>
          </a:solidFill>
          <a:ln w="9525" algn="ctr">
            <a:solidFill>
              <a:srgbClr val="FFFFFF"/>
            </a:solidFill>
            <a:round/>
            <a:headEnd/>
            <a:tailEnd/>
          </a:ln>
          <a:effectLst/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/>
            <a:endParaRPr lang="en-US" sz="1200">
              <a:cs typeface="Arial" charset="0"/>
            </a:endParaRPr>
          </a:p>
        </xdr:txBody>
      </xdr:sp>
      <xdr:sp macro="" textlink="">
        <xdr:nvSpPr>
          <xdr:cNvPr id="8" name="Oval 15">
            <a:extLst>
              <a:ext uri="{FF2B5EF4-FFF2-40B4-BE49-F238E27FC236}">
                <a16:creationId xmlns:a16="http://schemas.microsoft.com/office/drawing/2014/main" id="{00000000-0008-0000-1600-000008000000}"/>
              </a:ext>
            </a:extLst>
          </xdr:cNvPr>
          <xdr:cNvSpPr>
            <a:spLocks noChangeArrowheads="1"/>
          </xdr:cNvSpPr>
        </xdr:nvSpPr>
        <xdr:spPr bwMode="gray">
          <a:xfrm>
            <a:off x="4312445" y="2197100"/>
            <a:ext cx="3595687" cy="3594100"/>
          </a:xfrm>
          <a:prstGeom prst="ellipse">
            <a:avLst/>
          </a:prstGeom>
          <a:solidFill>
            <a:srgbClr val="69A2E1"/>
          </a:solidFill>
          <a:ln w="9525" algn="ctr">
            <a:solidFill>
              <a:srgbClr val="FFFFFF"/>
            </a:solidFill>
            <a:round/>
            <a:headEnd/>
            <a:tailEnd/>
          </a:ln>
          <a:effectLst/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/>
            <a:endParaRPr lang="en-US" sz="1200">
              <a:cs typeface="Arial" charset="0"/>
            </a:endParaRPr>
          </a:p>
          <a:p>
            <a:pPr algn="ctr" eaLnBrk="0" hangingPunct="0"/>
            <a:endParaRPr lang="en-US" sz="1200">
              <a:cs typeface="Arial" charset="0"/>
            </a:endParaRPr>
          </a:p>
        </xdr:txBody>
      </xdr:sp>
      <xdr:sp macro="" textlink="">
        <xdr:nvSpPr>
          <xdr:cNvPr id="9" name="Oval 16">
            <a:extLst>
              <a:ext uri="{FF2B5EF4-FFF2-40B4-BE49-F238E27FC236}">
                <a16:creationId xmlns:a16="http://schemas.microsoft.com/office/drawing/2014/main" id="{00000000-0008-0000-1600-000009000000}"/>
              </a:ext>
            </a:extLst>
          </xdr:cNvPr>
          <xdr:cNvSpPr>
            <a:spLocks noChangeArrowheads="1"/>
          </xdr:cNvSpPr>
        </xdr:nvSpPr>
        <xdr:spPr bwMode="gray">
          <a:xfrm>
            <a:off x="4639468" y="2847974"/>
            <a:ext cx="2940050" cy="2940050"/>
          </a:xfrm>
          <a:prstGeom prst="ellipse">
            <a:avLst/>
          </a:prstGeom>
          <a:solidFill>
            <a:srgbClr val="2A79D0"/>
          </a:solidFill>
          <a:ln w="9525" algn="ctr">
            <a:solidFill>
              <a:srgbClr val="FFFFFF"/>
            </a:solidFill>
            <a:round/>
            <a:headEnd/>
            <a:tailEnd/>
          </a:ln>
          <a:effectLst/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/>
            <a:endParaRPr lang="en-US" sz="1200">
              <a:cs typeface="Arial" charset="0"/>
            </a:endParaRPr>
          </a:p>
        </xdr:txBody>
      </xdr:sp>
      <xdr:sp macro="" textlink="">
        <xdr:nvSpPr>
          <xdr:cNvPr id="10" name="Oval 17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SpPr>
            <a:spLocks noChangeArrowheads="1"/>
          </xdr:cNvSpPr>
        </xdr:nvSpPr>
        <xdr:spPr bwMode="gray">
          <a:xfrm>
            <a:off x="4964906" y="3505708"/>
            <a:ext cx="2287588" cy="2286000"/>
          </a:xfrm>
          <a:prstGeom prst="ellipse">
            <a:avLst/>
          </a:prstGeom>
          <a:solidFill>
            <a:srgbClr val="0061B2"/>
          </a:solidFill>
          <a:ln w="9525" algn="ctr">
            <a:solidFill>
              <a:srgbClr val="FFFFFF"/>
            </a:solidFill>
            <a:round/>
            <a:headEnd/>
            <a:tailEnd/>
          </a:ln>
          <a:effectLst/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/>
            <a:endParaRPr lang="en-US" sz="1200" b="1">
              <a:solidFill>
                <a:schemeClr val="bg1"/>
              </a:solidFill>
              <a:cs typeface="Arial" charset="0"/>
            </a:endParaRPr>
          </a:p>
          <a:p>
            <a:pPr algn="ctr" eaLnBrk="0" hangingPunct="0"/>
            <a:endParaRPr lang="en-US" sz="1200" b="1">
              <a:solidFill>
                <a:schemeClr val="bg1"/>
              </a:solidFill>
              <a:cs typeface="Arial" charset="0"/>
            </a:endParaRPr>
          </a:p>
          <a:p>
            <a:pPr algn="ctr" eaLnBrk="0" hangingPunct="0"/>
            <a:r>
              <a:rPr lang="es-ES" sz="1200" b="1" i="1">
                <a:solidFill>
                  <a:schemeClr val="bg1"/>
                </a:solidFill>
              </a:rPr>
              <a:t>11.825.139 €</a:t>
            </a:r>
            <a:r>
              <a:rPr lang="es-ES" sz="1200">
                <a:solidFill>
                  <a:schemeClr val="bg1"/>
                </a:solidFill>
              </a:rPr>
              <a:t> </a:t>
            </a:r>
            <a:endParaRPr lang="en-US" sz="1200">
              <a:solidFill>
                <a:schemeClr val="bg1"/>
              </a:solidFill>
              <a:cs typeface="Arial" charset="0"/>
            </a:endParaRPr>
          </a:p>
        </xdr:txBody>
      </xdr:sp>
      <xdr:grpSp>
        <xdr:nvGrpSpPr>
          <xdr:cNvPr id="11" name="Group 15">
            <a:extLst>
              <a:ext uri="{FF2B5EF4-FFF2-40B4-BE49-F238E27FC236}">
                <a16:creationId xmlns:a16="http://schemas.microsoft.com/office/drawing/2014/main" id="{00000000-0008-0000-1600-00000B000000}"/>
              </a:ext>
            </a:extLst>
          </xdr:cNvPr>
          <xdr:cNvGrpSpPr>
            <a:grpSpLocks/>
          </xdr:cNvGrpSpPr>
        </xdr:nvGrpSpPr>
        <xdr:grpSpPr bwMode="auto">
          <a:xfrm>
            <a:off x="5374484" y="1700214"/>
            <a:ext cx="1512888" cy="1744663"/>
            <a:chOff x="2426" y="1071"/>
            <a:chExt cx="953" cy="1099"/>
          </a:xfrm>
        </xdr:grpSpPr>
        <xdr:sp macro="" textlink="">
          <xdr:nvSpPr>
            <xdr:cNvPr id="34" name="Text Box 19">
              <a:extLst>
                <a:ext uri="{FF2B5EF4-FFF2-40B4-BE49-F238E27FC236}">
                  <a16:creationId xmlns:a16="http://schemas.microsoft.com/office/drawing/2014/main" id="{00000000-0008-0000-1600-000022000000}"/>
                </a:ext>
              </a:extLst>
            </xdr:cNvPr>
            <xdr:cNvSpPr txBox="1">
              <a:spLocks noChangeArrowheads="1"/>
            </xdr:cNvSpPr>
          </xdr:nvSpPr>
          <xdr:spPr bwMode="gray">
            <a:xfrm>
              <a:off x="2491" y="1071"/>
              <a:ext cx="888" cy="16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 lIns="0" tIns="0" rIns="0" bIns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defTabSz="801688">
                <a:spcAft>
                  <a:spcPct val="40000"/>
                </a:spcAft>
              </a:pPr>
              <a:r>
                <a:rPr lang="es-ES" sz="1200" b="1" i="1"/>
                <a:t> 3.026.627 € </a:t>
              </a:r>
            </a:p>
          </xdr:txBody>
        </xdr:sp>
        <xdr:sp macro="" textlink="">
          <xdr:nvSpPr>
            <xdr:cNvPr id="35" name="Text Box 19">
              <a:extLst>
                <a:ext uri="{FF2B5EF4-FFF2-40B4-BE49-F238E27FC236}">
                  <a16:creationId xmlns:a16="http://schemas.microsoft.com/office/drawing/2014/main" id="{00000000-0008-0000-1600-000023000000}"/>
                </a:ext>
              </a:extLst>
            </xdr:cNvPr>
            <xdr:cNvSpPr txBox="1">
              <a:spLocks noChangeArrowheads="1"/>
            </xdr:cNvSpPr>
          </xdr:nvSpPr>
          <xdr:spPr bwMode="gray">
            <a:xfrm>
              <a:off x="2491" y="1599"/>
              <a:ext cx="888" cy="40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 lIns="0" tIns="0" rIns="0" bIns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defTabSz="801688">
                <a:spcAft>
                  <a:spcPct val="40000"/>
                </a:spcAft>
              </a:pPr>
              <a:r>
                <a:rPr lang="es-ES" sz="1200" b="1" i="1"/>
                <a:t>2.318.146 €</a:t>
              </a:r>
            </a:p>
            <a:p>
              <a:pPr algn="ctr" defTabSz="801688">
                <a:spcAft>
                  <a:spcPct val="40000"/>
                </a:spcAft>
              </a:pPr>
              <a:r>
                <a:rPr lang="es-ES" sz="1200" b="1" i="1"/>
                <a:t> </a:t>
              </a:r>
              <a:endParaRPr lang="en-US" sz="1200" b="1">
                <a:cs typeface="Arial" charset="0"/>
              </a:endParaRPr>
            </a:p>
          </xdr:txBody>
        </xdr:sp>
        <xdr:sp macro="" textlink="">
          <xdr:nvSpPr>
            <xdr:cNvPr id="36" name="Text Box 19">
              <a:extLst>
                <a:ext uri="{FF2B5EF4-FFF2-40B4-BE49-F238E27FC236}">
                  <a16:creationId xmlns:a16="http://schemas.microsoft.com/office/drawing/2014/main" id="{00000000-0008-0000-1600-000024000000}"/>
                </a:ext>
              </a:extLst>
            </xdr:cNvPr>
            <xdr:cNvSpPr txBox="1">
              <a:spLocks noChangeArrowheads="1"/>
            </xdr:cNvSpPr>
          </xdr:nvSpPr>
          <xdr:spPr bwMode="gray">
            <a:xfrm>
              <a:off x="2552" y="1917"/>
              <a:ext cx="675" cy="17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 lIns="0" tIns="0" rIns="0" bIns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defTabSz="801688">
                <a:spcAft>
                  <a:spcPct val="40000"/>
                </a:spcAft>
              </a:pPr>
              <a:endParaRPr lang="en-US" sz="1200" b="1">
                <a:solidFill>
                  <a:schemeClr val="bg1"/>
                </a:solidFill>
                <a:cs typeface="Arial" charset="0"/>
              </a:endParaRPr>
            </a:p>
          </xdr:txBody>
        </xdr:sp>
        <xdr:sp macro="" textlink="">
          <xdr:nvSpPr>
            <xdr:cNvPr id="37" name="Text Box 19">
              <a:extLst>
                <a:ext uri="{FF2B5EF4-FFF2-40B4-BE49-F238E27FC236}">
                  <a16:creationId xmlns:a16="http://schemas.microsoft.com/office/drawing/2014/main" id="{00000000-0008-0000-1600-000025000000}"/>
                </a:ext>
              </a:extLst>
            </xdr:cNvPr>
            <xdr:cNvSpPr txBox="1">
              <a:spLocks noChangeArrowheads="1"/>
            </xdr:cNvSpPr>
          </xdr:nvSpPr>
          <xdr:spPr bwMode="gray">
            <a:xfrm>
              <a:off x="2426" y="2002"/>
              <a:ext cx="933" cy="16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 lIns="0" tIns="0" rIns="0" bIns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 defTabSz="801688">
                <a:spcAft>
                  <a:spcPct val="40000"/>
                </a:spcAft>
              </a:pPr>
              <a:r>
                <a:rPr lang="es-ES" sz="1200" b="1" i="1"/>
                <a:t>1.937.727 €</a:t>
              </a:r>
            </a:p>
          </xdr:txBody>
        </xdr:sp>
      </xdr:grpSp>
      <xdr:sp macro="" textlink="">
        <xdr:nvSpPr>
          <xdr:cNvPr id="12" name="Text Box 13">
            <a:extLst>
              <a:ext uri="{FF2B5EF4-FFF2-40B4-BE49-F238E27FC236}">
                <a16:creationId xmlns:a16="http://schemas.microsoft.com/office/drawing/2014/main" id="{00000000-0008-0000-1600-00000C000000}"/>
              </a:ext>
            </a:extLst>
          </xdr:cNvPr>
          <xdr:cNvSpPr txBox="1">
            <a:spLocks noChangeArrowheads="1"/>
          </xdr:cNvSpPr>
        </xdr:nvSpPr>
        <xdr:spPr bwMode="gray">
          <a:xfrm>
            <a:off x="1801813" y="3349628"/>
            <a:ext cx="2482850" cy="276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defTabSz="801688">
              <a:spcAft>
                <a:spcPct val="40000"/>
              </a:spcAft>
            </a:pPr>
            <a:r>
              <a:rPr lang="en-US" sz="1200" b="1">
                <a:cs typeface="Arial" charset="0"/>
              </a:rPr>
              <a:t>VALOR SOCIAL ESPECÍFICO</a:t>
            </a:r>
          </a:p>
        </xdr:txBody>
      </xdr:sp>
      <xdr:sp macro="" textlink="">
        <xdr:nvSpPr>
          <xdr:cNvPr id="13" name="Text Box 13">
            <a:extLst>
              <a:ext uri="{FF2B5EF4-FFF2-40B4-BE49-F238E27FC236}">
                <a16:creationId xmlns:a16="http://schemas.microsoft.com/office/drawing/2014/main" id="{00000000-0008-0000-1600-00000D000000}"/>
              </a:ext>
            </a:extLst>
          </xdr:cNvPr>
          <xdr:cNvSpPr txBox="1">
            <a:spLocks noChangeArrowheads="1"/>
          </xdr:cNvSpPr>
        </xdr:nvSpPr>
        <xdr:spPr bwMode="gray">
          <a:xfrm>
            <a:off x="8375929" y="2244097"/>
            <a:ext cx="2325688" cy="276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801688">
              <a:spcAft>
                <a:spcPct val="40000"/>
              </a:spcAft>
            </a:pPr>
            <a:r>
              <a:rPr lang="en-US" sz="1200" b="1">
                <a:solidFill>
                  <a:schemeClr val="bg1"/>
                </a:solidFill>
                <a:cs typeface="Arial" charset="0"/>
              </a:rPr>
              <a:t>VALOR SOCIAL INTEGRADO</a:t>
            </a:r>
          </a:p>
        </xdr:txBody>
      </xdr:sp>
      <xdr:sp macro="" textlink="">
        <xdr:nvSpPr>
          <xdr:cNvPr id="14" name="Line 17">
            <a:extLst>
              <a:ext uri="{FF2B5EF4-FFF2-40B4-BE49-F238E27FC236}">
                <a16:creationId xmlns:a16="http://schemas.microsoft.com/office/drawing/2014/main" id="{00000000-0008-0000-1600-00000E000000}"/>
              </a:ext>
            </a:extLst>
          </xdr:cNvPr>
          <xdr:cNvSpPr>
            <a:spLocks noChangeShapeType="1"/>
          </xdr:cNvSpPr>
        </xdr:nvSpPr>
        <xdr:spPr bwMode="gray">
          <a:xfrm rot="10800000">
            <a:off x="1885157" y="1870075"/>
            <a:ext cx="3516313" cy="0"/>
          </a:xfrm>
          <a:prstGeom prst="line">
            <a:avLst/>
          </a:prstGeom>
          <a:noFill/>
          <a:ln w="19050">
            <a:solidFill>
              <a:srgbClr val="7F7F7F"/>
            </a:solidFill>
            <a:prstDash val="sysDot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ES" sz="1200"/>
          </a:p>
        </xdr:txBody>
      </xdr:sp>
      <xdr:sp macro="" textlink="">
        <xdr:nvSpPr>
          <xdr:cNvPr id="15" name="Line 17">
            <a:extLst>
              <a:ext uri="{FF2B5EF4-FFF2-40B4-BE49-F238E27FC236}">
                <a16:creationId xmlns:a16="http://schemas.microsoft.com/office/drawing/2014/main" id="{00000000-0008-0000-1600-00000F000000}"/>
              </a:ext>
            </a:extLst>
          </xdr:cNvPr>
          <xdr:cNvSpPr>
            <a:spLocks noChangeShapeType="1"/>
          </xdr:cNvSpPr>
        </xdr:nvSpPr>
        <xdr:spPr bwMode="gray">
          <a:xfrm rot="10800000">
            <a:off x="6819107" y="2616200"/>
            <a:ext cx="3514725" cy="0"/>
          </a:xfrm>
          <a:prstGeom prst="line">
            <a:avLst/>
          </a:prstGeom>
          <a:noFill/>
          <a:ln w="19050">
            <a:solidFill>
              <a:srgbClr val="7F7F7F"/>
            </a:solidFill>
            <a:prstDash val="sysDot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ES" sz="1200"/>
          </a:p>
        </xdr:txBody>
      </xdr:sp>
      <xdr:sp macro="" textlink="">
        <xdr:nvSpPr>
          <xdr:cNvPr id="16" name="Line 17">
            <a:extLst>
              <a:ext uri="{FF2B5EF4-FFF2-40B4-BE49-F238E27FC236}">
                <a16:creationId xmlns:a16="http://schemas.microsoft.com/office/drawing/2014/main" id="{00000000-0008-0000-1600-000010000000}"/>
              </a:ext>
            </a:extLst>
          </xdr:cNvPr>
          <xdr:cNvSpPr>
            <a:spLocks noChangeShapeType="1"/>
          </xdr:cNvSpPr>
        </xdr:nvSpPr>
        <xdr:spPr bwMode="gray">
          <a:xfrm rot="10800000">
            <a:off x="6795388" y="3967088"/>
            <a:ext cx="3514724" cy="0"/>
          </a:xfrm>
          <a:prstGeom prst="line">
            <a:avLst/>
          </a:prstGeom>
          <a:noFill/>
          <a:ln w="19050">
            <a:solidFill>
              <a:srgbClr val="7F7F7F"/>
            </a:solidFill>
            <a:prstDash val="sysDot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ES" sz="1200"/>
          </a:p>
        </xdr:txBody>
      </xdr:sp>
      <xdr:grpSp>
        <xdr:nvGrpSpPr>
          <xdr:cNvPr id="17" name="Group 32">
            <a:extLst>
              <a:ext uri="{FF2B5EF4-FFF2-40B4-BE49-F238E27FC236}">
                <a16:creationId xmlns:a16="http://schemas.microsoft.com/office/drawing/2014/main" id="{00000000-0008-0000-1600-000011000000}"/>
              </a:ext>
            </a:extLst>
          </xdr:cNvPr>
          <xdr:cNvGrpSpPr>
            <a:grpSpLocks/>
          </xdr:cNvGrpSpPr>
        </xdr:nvGrpSpPr>
        <xdr:grpSpPr bwMode="auto">
          <a:xfrm>
            <a:off x="1885157" y="3286125"/>
            <a:ext cx="3516314" cy="0"/>
            <a:chOff x="228" y="2070"/>
            <a:chExt cx="2215" cy="0"/>
          </a:xfrm>
        </xdr:grpSpPr>
        <xdr:sp macro="" textlink="">
          <xdr:nvSpPr>
            <xdr:cNvPr id="32" name="Line 17">
              <a:extLst>
                <a:ext uri="{FF2B5EF4-FFF2-40B4-BE49-F238E27FC236}">
                  <a16:creationId xmlns:a16="http://schemas.microsoft.com/office/drawing/2014/main" id="{00000000-0008-0000-1600-000020000000}"/>
                </a:ext>
              </a:extLst>
            </xdr:cNvPr>
            <xdr:cNvSpPr>
              <a:spLocks noChangeShapeType="1"/>
            </xdr:cNvSpPr>
          </xdr:nvSpPr>
          <xdr:spPr bwMode="gray">
            <a:xfrm rot="10800000">
              <a:off x="1584" y="2070"/>
              <a:ext cx="859" cy="0"/>
            </a:xfrm>
            <a:prstGeom prst="line">
              <a:avLst/>
            </a:prstGeom>
            <a:noFill/>
            <a:ln w="19050">
              <a:solidFill>
                <a:srgbClr val="7F7F7F"/>
              </a:solidFill>
              <a:prstDash val="sysDot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s-ES" sz="1200"/>
            </a:p>
          </xdr:txBody>
        </xdr:sp>
        <xdr:sp macro="" textlink="">
          <xdr:nvSpPr>
            <xdr:cNvPr id="33" name="Line 17">
              <a:extLst>
                <a:ext uri="{FF2B5EF4-FFF2-40B4-BE49-F238E27FC236}">
                  <a16:creationId xmlns:a16="http://schemas.microsoft.com/office/drawing/2014/main" id="{00000000-0008-0000-1600-000021000000}"/>
                </a:ext>
              </a:extLst>
            </xdr:cNvPr>
            <xdr:cNvSpPr>
              <a:spLocks noChangeShapeType="1"/>
            </xdr:cNvSpPr>
          </xdr:nvSpPr>
          <xdr:spPr bwMode="gray">
            <a:xfrm rot="10800000">
              <a:off x="228" y="2070"/>
              <a:ext cx="1356" cy="0"/>
            </a:xfrm>
            <a:prstGeom prst="line">
              <a:avLst/>
            </a:prstGeom>
            <a:noFill/>
            <a:ln w="19050">
              <a:solidFill>
                <a:srgbClr val="4D4D4D"/>
              </a:solidFill>
              <a:prstDash val="sysDot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s-ES" sz="1200"/>
            </a:p>
          </xdr:txBody>
        </xdr:sp>
      </xdr:grpSp>
      <xdr:sp macro="" textlink="">
        <xdr:nvSpPr>
          <xdr:cNvPr id="18" name="Oval 18">
            <a:extLst>
              <a:ext uri="{FF2B5EF4-FFF2-40B4-BE49-F238E27FC236}">
                <a16:creationId xmlns:a16="http://schemas.microsoft.com/office/drawing/2014/main" id="{00000000-0008-0000-1600-000012000000}"/>
              </a:ext>
            </a:extLst>
          </xdr:cNvPr>
          <xdr:cNvSpPr>
            <a:spLocks noChangeArrowheads="1"/>
          </xdr:cNvSpPr>
        </xdr:nvSpPr>
        <xdr:spPr bwMode="gray">
          <a:xfrm>
            <a:off x="5318213" y="4152901"/>
            <a:ext cx="1635125" cy="1635125"/>
          </a:xfrm>
          <a:prstGeom prst="ellipse">
            <a:avLst/>
          </a:prstGeom>
          <a:solidFill>
            <a:srgbClr val="004074"/>
          </a:solidFill>
          <a:ln w="9525" algn="ctr">
            <a:solidFill>
              <a:srgbClr val="FFFFFF"/>
            </a:solidFill>
            <a:round/>
            <a:headEnd/>
            <a:tailEnd/>
          </a:ln>
          <a:effectLst/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/>
            <a:endParaRPr lang="en-US" sz="1200">
              <a:cs typeface="Arial" charset="0"/>
            </a:endParaRPr>
          </a:p>
        </xdr:txBody>
      </xdr:sp>
      <xdr:sp macro="" textlink="">
        <xdr:nvSpPr>
          <xdr:cNvPr id="19" name="Text Box 13">
            <a:extLst>
              <a:ext uri="{FF2B5EF4-FFF2-40B4-BE49-F238E27FC236}">
                <a16:creationId xmlns:a16="http://schemas.microsoft.com/office/drawing/2014/main" id="{00000000-0008-0000-1600-000013000000}"/>
              </a:ext>
            </a:extLst>
          </xdr:cNvPr>
          <xdr:cNvSpPr txBox="1">
            <a:spLocks noChangeArrowheads="1"/>
          </xdr:cNvSpPr>
        </xdr:nvSpPr>
        <xdr:spPr bwMode="gray">
          <a:xfrm>
            <a:off x="8598175" y="3995439"/>
            <a:ext cx="1928816" cy="533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801688">
              <a:spcAft>
                <a:spcPct val="40000"/>
              </a:spcAft>
            </a:pPr>
            <a:r>
              <a:rPr lang="en-US" sz="1200" b="1">
                <a:solidFill>
                  <a:srgbClr val="080808"/>
                </a:solidFill>
                <a:cs typeface="Arial" charset="0"/>
              </a:rPr>
              <a:t>VALOR SOCIAL DE MERCADO</a:t>
            </a:r>
          </a:p>
        </xdr:txBody>
      </xdr:sp>
      <xdr:sp macro="" textlink="">
        <xdr:nvSpPr>
          <xdr:cNvPr id="20" name="31 Rectángulo">
            <a:extLst>
              <a:ext uri="{FF2B5EF4-FFF2-40B4-BE49-F238E27FC236}">
                <a16:creationId xmlns:a16="http://schemas.microsoft.com/office/drawing/2014/main" id="{00000000-0008-0000-1600-000014000000}"/>
              </a:ext>
            </a:extLst>
          </xdr:cNvPr>
          <xdr:cNvSpPr/>
        </xdr:nvSpPr>
        <xdr:spPr>
          <a:xfrm>
            <a:off x="5518889" y="3738345"/>
            <a:ext cx="1271501" cy="39777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/>
            <a:r>
              <a:rPr lang="es-ES" sz="1200" b="1" i="1">
                <a:solidFill>
                  <a:schemeClr val="bg1"/>
                </a:solidFill>
              </a:rPr>
              <a:t>380.418 €</a:t>
            </a:r>
          </a:p>
        </xdr:txBody>
      </xdr:sp>
      <xdr:sp macro="" textlink="">
        <xdr:nvSpPr>
          <xdr:cNvPr id="21" name="32 Rectángulo">
            <a:extLst>
              <a:ext uri="{FF2B5EF4-FFF2-40B4-BE49-F238E27FC236}">
                <a16:creationId xmlns:a16="http://schemas.microsoft.com/office/drawing/2014/main" id="{00000000-0008-0000-1600-000015000000}"/>
              </a:ext>
            </a:extLst>
          </xdr:cNvPr>
          <xdr:cNvSpPr/>
        </xdr:nvSpPr>
        <xdr:spPr>
          <a:xfrm>
            <a:off x="5446886" y="4788454"/>
            <a:ext cx="1386918" cy="397778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hangingPunct="0"/>
            <a:r>
              <a:rPr lang="es-ES" sz="1200" b="1" i="1">
                <a:solidFill>
                  <a:schemeClr val="bg1"/>
                </a:solidFill>
              </a:rPr>
              <a:t>2.136</a:t>
            </a:r>
            <a:r>
              <a:rPr lang="es-ES" sz="1200" b="1" i="1" baseline="0">
                <a:solidFill>
                  <a:schemeClr val="bg1"/>
                </a:solidFill>
              </a:rPr>
              <a:t> €.</a:t>
            </a:r>
            <a:endParaRPr lang="es-ES" sz="1200" b="1" i="1">
              <a:solidFill>
                <a:schemeClr val="bg1"/>
              </a:solidFill>
            </a:endParaRPr>
          </a:p>
        </xdr:txBody>
      </xdr:sp>
      <xdr:sp macro="" textlink="">
        <xdr:nvSpPr>
          <xdr:cNvPr id="22" name="Text Box 13">
            <a:extLst>
              <a:ext uri="{FF2B5EF4-FFF2-40B4-BE49-F238E27FC236}">
                <a16:creationId xmlns:a16="http://schemas.microsoft.com/office/drawing/2014/main" id="{00000000-0008-0000-1600-000016000000}"/>
              </a:ext>
            </a:extLst>
          </xdr:cNvPr>
          <xdr:cNvSpPr txBox="1">
            <a:spLocks noChangeArrowheads="1"/>
          </xdr:cNvSpPr>
        </xdr:nvSpPr>
        <xdr:spPr bwMode="gray">
          <a:xfrm>
            <a:off x="1823243" y="4924438"/>
            <a:ext cx="1219994" cy="276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defTabSz="801688">
              <a:spcAft>
                <a:spcPct val="40000"/>
              </a:spcAft>
            </a:pPr>
            <a:r>
              <a:rPr lang="en-US" sz="1200" b="1">
                <a:solidFill>
                  <a:srgbClr val="080808"/>
                </a:solidFill>
                <a:cs typeface="Arial" charset="0"/>
              </a:rPr>
              <a:t>BENEFICIO</a:t>
            </a:r>
          </a:p>
        </xdr:txBody>
      </xdr:sp>
      <xdr:grpSp>
        <xdr:nvGrpSpPr>
          <xdr:cNvPr id="23" name="Group 32">
            <a:extLst>
              <a:ext uri="{FF2B5EF4-FFF2-40B4-BE49-F238E27FC236}">
                <a16:creationId xmlns:a16="http://schemas.microsoft.com/office/drawing/2014/main" id="{00000000-0008-0000-1600-000017000000}"/>
              </a:ext>
            </a:extLst>
          </xdr:cNvPr>
          <xdr:cNvGrpSpPr>
            <a:grpSpLocks/>
          </xdr:cNvGrpSpPr>
        </xdr:nvGrpSpPr>
        <xdr:grpSpPr bwMode="auto">
          <a:xfrm>
            <a:off x="2037557" y="4842210"/>
            <a:ext cx="3516314" cy="0"/>
            <a:chOff x="228" y="2070"/>
            <a:chExt cx="2215" cy="0"/>
          </a:xfrm>
        </xdr:grpSpPr>
        <xdr:sp macro="" textlink="">
          <xdr:nvSpPr>
            <xdr:cNvPr id="30" name="Line 17">
              <a:extLst>
                <a:ext uri="{FF2B5EF4-FFF2-40B4-BE49-F238E27FC236}">
                  <a16:creationId xmlns:a16="http://schemas.microsoft.com/office/drawing/2014/main" id="{00000000-0008-0000-1600-00001E000000}"/>
                </a:ext>
              </a:extLst>
            </xdr:cNvPr>
            <xdr:cNvSpPr>
              <a:spLocks noChangeShapeType="1"/>
            </xdr:cNvSpPr>
          </xdr:nvSpPr>
          <xdr:spPr bwMode="gray">
            <a:xfrm rot="10800000">
              <a:off x="1584" y="2070"/>
              <a:ext cx="859" cy="0"/>
            </a:xfrm>
            <a:prstGeom prst="line">
              <a:avLst/>
            </a:prstGeom>
            <a:noFill/>
            <a:ln w="19050">
              <a:solidFill>
                <a:srgbClr val="7F7F7F"/>
              </a:solidFill>
              <a:prstDash val="sysDot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s-ES" sz="1200"/>
            </a:p>
          </xdr:txBody>
        </xdr:sp>
        <xdr:sp macro="" textlink="">
          <xdr:nvSpPr>
            <xdr:cNvPr id="31" name="Line 17">
              <a:extLst>
                <a:ext uri="{FF2B5EF4-FFF2-40B4-BE49-F238E27FC236}">
                  <a16:creationId xmlns:a16="http://schemas.microsoft.com/office/drawing/2014/main" id="{00000000-0008-0000-1600-00001F000000}"/>
                </a:ext>
              </a:extLst>
            </xdr:cNvPr>
            <xdr:cNvSpPr>
              <a:spLocks noChangeShapeType="1"/>
            </xdr:cNvSpPr>
          </xdr:nvSpPr>
          <xdr:spPr bwMode="gray">
            <a:xfrm rot="10800000">
              <a:off x="228" y="2070"/>
              <a:ext cx="1356" cy="0"/>
            </a:xfrm>
            <a:prstGeom prst="line">
              <a:avLst/>
            </a:prstGeom>
            <a:noFill/>
            <a:ln w="19050">
              <a:solidFill>
                <a:srgbClr val="4D4D4D"/>
              </a:solidFill>
              <a:prstDash val="sysDot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s-ES" sz="1200"/>
            </a:p>
          </xdr:txBody>
        </xdr:sp>
      </xdr:grpSp>
      <xdr:sp macro="" textlink="">
        <xdr:nvSpPr>
          <xdr:cNvPr id="24" name="40 CuadroTexto">
            <a:extLst>
              <a:ext uri="{FF2B5EF4-FFF2-40B4-BE49-F238E27FC236}">
                <a16:creationId xmlns:a16="http://schemas.microsoft.com/office/drawing/2014/main" id="{00000000-0008-0000-1600-000018000000}"/>
              </a:ext>
            </a:extLst>
          </xdr:cNvPr>
          <xdr:cNvSpPr txBox="1"/>
        </xdr:nvSpPr>
        <xdr:spPr>
          <a:xfrm>
            <a:off x="5720805" y="4460396"/>
            <a:ext cx="1197852" cy="39777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>
                <a:solidFill>
                  <a:srgbClr val="FFFF00"/>
                </a:solidFill>
              </a:rPr>
              <a:t>[0,013]</a:t>
            </a:r>
          </a:p>
        </xdr:txBody>
      </xdr:sp>
      <xdr:sp macro="" textlink="">
        <xdr:nvSpPr>
          <xdr:cNvPr id="25" name="41 CuadroTexto">
            <a:extLst>
              <a:ext uri="{FF2B5EF4-FFF2-40B4-BE49-F238E27FC236}">
                <a16:creationId xmlns:a16="http://schemas.microsoft.com/office/drawing/2014/main" id="{00000000-0008-0000-1600-000019000000}"/>
              </a:ext>
            </a:extLst>
          </xdr:cNvPr>
          <xdr:cNvSpPr txBox="1"/>
        </xdr:nvSpPr>
        <xdr:spPr>
          <a:xfrm>
            <a:off x="5567235" y="3503907"/>
            <a:ext cx="1417970" cy="39777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>
                <a:solidFill>
                  <a:srgbClr val="FFFF00"/>
                </a:solidFill>
              </a:rPr>
              <a:t>[2,29</a:t>
            </a:r>
            <a:r>
              <a:rPr lang="es-ES" sz="1200" b="1" baseline="0">
                <a:solidFill>
                  <a:srgbClr val="FFFF00"/>
                </a:solidFill>
              </a:rPr>
              <a:t> / 0,82] </a:t>
            </a:r>
            <a:endParaRPr lang="es-ES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26" name="42 CuadroTexto">
            <a:extLst>
              <a:ext uri="{FF2B5EF4-FFF2-40B4-BE49-F238E27FC236}">
                <a16:creationId xmlns:a16="http://schemas.microsoft.com/office/drawing/2014/main" id="{00000000-0008-0000-1600-00001A000000}"/>
              </a:ext>
            </a:extLst>
          </xdr:cNvPr>
          <xdr:cNvSpPr txBox="1"/>
        </xdr:nvSpPr>
        <xdr:spPr>
          <a:xfrm>
            <a:off x="5480211" y="2860348"/>
            <a:ext cx="1510112" cy="39777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>
                <a:solidFill>
                  <a:srgbClr val="FFFF00"/>
                </a:solidFill>
              </a:rPr>
              <a:t>[11,68 /</a:t>
            </a:r>
            <a:r>
              <a:rPr lang="es-ES" sz="1200" b="1" baseline="0">
                <a:solidFill>
                  <a:srgbClr val="FFFF00"/>
                </a:solidFill>
              </a:rPr>
              <a:t> 4,2]</a:t>
            </a:r>
            <a:endParaRPr lang="es-ES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27" name="47 CuadroTexto">
            <a:extLst>
              <a:ext uri="{FF2B5EF4-FFF2-40B4-BE49-F238E27FC236}">
                <a16:creationId xmlns:a16="http://schemas.microsoft.com/office/drawing/2014/main" id="{00000000-0008-0000-1600-00001B000000}"/>
              </a:ext>
            </a:extLst>
          </xdr:cNvPr>
          <xdr:cNvSpPr txBox="1"/>
        </xdr:nvSpPr>
        <xdr:spPr>
          <a:xfrm>
            <a:off x="5485328" y="2214510"/>
            <a:ext cx="1565979" cy="39777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>
                <a:solidFill>
                  <a:srgbClr val="FFFF00"/>
                </a:solidFill>
              </a:rPr>
              <a:t>[13,98</a:t>
            </a:r>
            <a:r>
              <a:rPr lang="es-ES" sz="1200" b="1" baseline="0">
                <a:solidFill>
                  <a:srgbClr val="FFFF00"/>
                </a:solidFill>
              </a:rPr>
              <a:t> / 5,02]</a:t>
            </a:r>
            <a:endParaRPr lang="es-ES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28" name="48 CuadroTexto">
            <a:extLst>
              <a:ext uri="{FF2B5EF4-FFF2-40B4-BE49-F238E27FC236}">
                <a16:creationId xmlns:a16="http://schemas.microsoft.com/office/drawing/2014/main" id="{00000000-0008-0000-1600-00001C000000}"/>
              </a:ext>
            </a:extLst>
          </xdr:cNvPr>
          <xdr:cNvSpPr txBox="1"/>
        </xdr:nvSpPr>
        <xdr:spPr>
          <a:xfrm>
            <a:off x="5528737" y="1361176"/>
            <a:ext cx="1534140" cy="39777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>
                <a:solidFill>
                  <a:srgbClr val="FFFF00"/>
                </a:solidFill>
              </a:rPr>
              <a:t>[18,25</a:t>
            </a:r>
            <a:r>
              <a:rPr lang="es-ES" sz="1200" b="1" baseline="0">
                <a:solidFill>
                  <a:srgbClr val="FFFF00"/>
                </a:solidFill>
              </a:rPr>
              <a:t> / 6,55]</a:t>
            </a:r>
            <a:endParaRPr lang="es-ES" sz="1200" b="1">
              <a:solidFill>
                <a:srgbClr val="FFFF00"/>
              </a:solidFill>
            </a:endParaRP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1600-00001D000000}"/>
              </a:ext>
            </a:extLst>
          </xdr:cNvPr>
          <xdr:cNvSpPr txBox="1">
            <a:spLocks noChangeArrowheads="1"/>
          </xdr:cNvSpPr>
        </xdr:nvSpPr>
        <xdr:spPr bwMode="gray">
          <a:xfrm>
            <a:off x="1927565" y="1529616"/>
            <a:ext cx="2615407" cy="276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801688">
              <a:spcAft>
                <a:spcPct val="40000"/>
              </a:spcAft>
            </a:pPr>
            <a:r>
              <a:rPr lang="en-US" sz="1200" b="1">
                <a:solidFill>
                  <a:schemeClr val="bg1"/>
                </a:solidFill>
                <a:cs typeface="Arial" charset="0"/>
              </a:rPr>
              <a:t>VALOR SOCIO-EMOCIONAL</a:t>
            </a:r>
          </a:p>
        </xdr:txBody>
      </xdr:sp>
    </xdr:grpSp>
    <xdr:clientData/>
  </xdr:twoCellAnchor>
  <xdr:twoCellAnchor>
    <xdr:from>
      <xdr:col>13</xdr:col>
      <xdr:colOff>87630</xdr:colOff>
      <xdr:row>9</xdr:row>
      <xdr:rowOff>55245</xdr:rowOff>
    </xdr:from>
    <xdr:to>
      <xdr:col>17</xdr:col>
      <xdr:colOff>266700</xdr:colOff>
      <xdr:row>24</xdr:row>
      <xdr:rowOff>55245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49" name="Gráfico 48">
              <a:extLst>
                <a:ext uri="{FF2B5EF4-FFF2-40B4-BE49-F238E27FC236}">
                  <a16:creationId xmlns:a16="http://schemas.microsoft.com/office/drawing/2014/main" id="{00000000-0008-0000-1600-000031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2330" y="2341245"/>
              <a:ext cx="429387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8</xdr:col>
      <xdr:colOff>1158240</xdr:colOff>
      <xdr:row>9</xdr:row>
      <xdr:rowOff>20955</xdr:rowOff>
    </xdr:from>
    <xdr:to>
      <xdr:col>13</xdr:col>
      <xdr:colOff>91440</xdr:colOff>
      <xdr:row>24</xdr:row>
      <xdr:rowOff>20955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16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548641</xdr:colOff>
      <xdr:row>9</xdr:row>
      <xdr:rowOff>153572</xdr:rowOff>
    </xdr:from>
    <xdr:to>
      <xdr:col>4</xdr:col>
      <xdr:colOff>456006</xdr:colOff>
      <xdr:row>25</xdr:row>
      <xdr:rowOff>5143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10</xdr:col>
      <xdr:colOff>76698</xdr:colOff>
      <xdr:row>25</xdr:row>
      <xdr:rowOff>33604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6</xdr:col>
      <xdr:colOff>1050925</xdr:colOff>
      <xdr:row>3</xdr:row>
      <xdr:rowOff>21157</xdr:rowOff>
    </xdr:from>
    <xdr:ext cx="718609" cy="86784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/>
        </xdr:cNvSpPr>
      </xdr:nvSpPr>
      <xdr:spPr>
        <a:xfrm>
          <a:off x="6528858" y="567257"/>
          <a:ext cx="718609" cy="867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s-ES" sz="1000">
              <a:solidFill>
                <a:srgbClr val="FFFF00"/>
              </a:solidFill>
            </a:rPr>
            <a:t>3.026.627</a:t>
          </a:r>
        </a:p>
        <a:p>
          <a:pPr algn="r"/>
          <a:r>
            <a:rPr lang="es-ES" sz="1000">
              <a:solidFill>
                <a:srgbClr val="FFFF00"/>
              </a:solidFill>
            </a:rPr>
            <a:t>2.318.146</a:t>
          </a:r>
        </a:p>
        <a:p>
          <a:pPr algn="r"/>
          <a:r>
            <a:rPr lang="es-ES" sz="1000">
              <a:solidFill>
                <a:srgbClr val="FFFF00"/>
              </a:solidFill>
            </a:rPr>
            <a:t>1.937.727</a:t>
          </a:r>
        </a:p>
        <a:p>
          <a:pPr algn="r"/>
          <a:r>
            <a:rPr lang="es-ES" sz="1000">
              <a:solidFill>
                <a:srgbClr val="FFFF00"/>
              </a:solidFill>
            </a:rPr>
            <a:t>380.418</a:t>
          </a:r>
        </a:p>
        <a:p>
          <a:pPr algn="r"/>
          <a:r>
            <a:rPr lang="es-ES" sz="1000">
              <a:solidFill>
                <a:srgbClr val="FFFF00"/>
              </a:solidFill>
            </a:rPr>
            <a:t>2.136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0.4203</cdr:x>
      <cdr:y>0.28946</cdr:y>
    </cdr:from>
    <cdr:to>
      <cdr:x>0.60029</cdr:x>
      <cdr:y>0.39092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91FE354D-FBCC-476D-96EE-6B555AB3A71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608666" y="800100"/>
          <a:ext cx="688908" cy="2804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0.4203</cdr:x>
      <cdr:y>0.39054</cdr:y>
    </cdr:from>
    <cdr:to>
      <cdr:x>0.60029</cdr:x>
      <cdr:y>0.492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CC1D082C-0BD0-47CA-AC4C-0F25701855B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608666" y="1079500"/>
          <a:ext cx="688908" cy="2804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0.42141</cdr:x>
      <cdr:y>0.48243</cdr:y>
    </cdr:from>
    <cdr:to>
      <cdr:x>0.6014</cdr:x>
      <cdr:y>0.58389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06602E9C-32E6-4918-91AD-FE3A4775D4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612900" y="1333500"/>
          <a:ext cx="688908" cy="2804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0.44463</cdr:x>
      <cdr:y>0.58045</cdr:y>
    </cdr:from>
    <cdr:to>
      <cdr:x>0.59914</cdr:x>
      <cdr:y>0.68191</cdr:y>
    </cdr:to>
    <cdr:pic>
      <cdr:nvPicPr>
        <cdr:cNvPr id="8" name="chart">
          <a:extLst xmlns:a="http://schemas.openxmlformats.org/drawingml/2006/main">
            <a:ext uri="{FF2B5EF4-FFF2-40B4-BE49-F238E27FC236}">
              <a16:creationId xmlns:a16="http://schemas.microsoft.com/office/drawing/2014/main" id="{E3E528B8-B221-4A0B-9996-4C45DBF6D3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1701800" y="1604434"/>
          <a:ext cx="591363" cy="2804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0.47892</cdr:x>
      <cdr:y>0.67541</cdr:y>
    </cdr:from>
    <cdr:to>
      <cdr:x>0.59838</cdr:x>
      <cdr:y>0.77687</cdr:y>
    </cdr:to>
    <cdr:pic>
      <cdr:nvPicPr>
        <cdr:cNvPr id="9" name="chart">
          <a:extLst xmlns:a="http://schemas.openxmlformats.org/drawingml/2006/main">
            <a:ext uri="{FF2B5EF4-FFF2-40B4-BE49-F238E27FC236}">
              <a16:creationId xmlns:a16="http://schemas.microsoft.com/office/drawing/2014/main" id="{B6E3B359-D7CF-4093-B86C-3C15082B4C4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833033" y="1866900"/>
          <a:ext cx="457240" cy="2804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0.56077</cdr:x>
      <cdr:y>0.09802</cdr:y>
    </cdr:from>
    <cdr:to>
      <cdr:x>0.79967</cdr:x>
      <cdr:y>0.19451</cdr:y>
    </cdr:to>
    <cdr:sp macro="" textlink="">
      <cdr:nvSpPr>
        <cdr:cNvPr id="10" name="CuadroTexto 9">
          <a:extLst xmlns:a="http://schemas.openxmlformats.org/drawingml/2006/main">
            <a:ext uri="{FF2B5EF4-FFF2-40B4-BE49-F238E27FC236}">
              <a16:creationId xmlns:a16="http://schemas.microsoft.com/office/drawing/2014/main" id="{DCA78448-D17A-482E-A178-989188D21121}"/>
            </a:ext>
          </a:extLst>
        </cdr:cNvPr>
        <cdr:cNvSpPr txBox="1"/>
      </cdr:nvSpPr>
      <cdr:spPr>
        <a:xfrm xmlns:a="http://schemas.openxmlformats.org/drawingml/2006/main">
          <a:off x="2146301" y="270934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400" b="1" i="1">
              <a:solidFill>
                <a:schemeClr val="bg1"/>
              </a:solidFill>
            </a:rPr>
            <a:t>UCAN 2016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349710</xdr:colOff>
      <xdr:row>0</xdr:row>
      <xdr:rowOff>28572</xdr:rowOff>
    </xdr:from>
    <xdr:to>
      <xdr:col>6</xdr:col>
      <xdr:colOff>552449</xdr:colOff>
      <xdr:row>0</xdr:row>
      <xdr:rowOff>228596</xdr:rowOff>
    </xdr:to>
    <xdr:sp macro="" textlink="">
      <xdr:nvSpPr>
        <xdr:cNvPr id="2" name="1 Triángulo isóscel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 rot="16200000">
          <a:off x="9542693" y="27214"/>
          <a:ext cx="200024" cy="202739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361948</xdr:colOff>
      <xdr:row>1</xdr:row>
      <xdr:rowOff>18661</xdr:rowOff>
    </xdr:from>
    <xdr:to>
      <xdr:col>6</xdr:col>
      <xdr:colOff>590549</xdr:colOff>
      <xdr:row>1</xdr:row>
      <xdr:rowOff>238125</xdr:rowOff>
    </xdr:to>
    <xdr:sp macro="" textlink="">
      <xdr:nvSpPr>
        <xdr:cNvPr id="3" name="2 Triángulo isóscele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 rot="16200000" flipV="1">
          <a:off x="9558142" y="280792"/>
          <a:ext cx="219464" cy="228601"/>
        </a:xfrm>
        <a:prstGeom prst="triangle">
          <a:avLst/>
        </a:prstGeom>
        <a:solidFill>
          <a:sysClr val="window" lastClr="FFFFFF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</xdr:col>
          <xdr:colOff>123825</xdr:colOff>
          <xdr:row>7</xdr:row>
          <xdr:rowOff>57150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A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PE217v3%20CMANDO%20P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na.sansalvador\Documents\Consultor&#237;a\2%20En%20curso\5%20GEA\Mis%20docs\Doc%20ppales\2015_03_04%20Modelo%20L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-%20GEACCOUNTING\AN&#193;LISIS%20ALFA\4.%20DESARROLLO\SOM%20FUNDACI&#211;\AREA%20TRABAJO\MOVAS.%20SOM%20FUNDACI&#211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-%20GEACCOUNTING\PRESENTACI&#211;N\MATERIALES%20PRESENTACI&#211;N\gr&#225;fico%20bolas%20monetizaci&#243;n%201801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NDICE"/>
      <sheetName val="1ª"/>
      <sheetName val="1Pp"/>
      <sheetName val="1Da"/>
      <sheetName val="1"/>
      <sheetName val="2"/>
      <sheetName val="3"/>
      <sheetName val="4"/>
      <sheetName val="5"/>
      <sheetName val="6"/>
      <sheetName val="ECON"/>
      <sheetName val="CalcBal"/>
      <sheetName val="2ª"/>
      <sheetName val="2Pp"/>
      <sheetName val="2Da"/>
      <sheetName val="7"/>
      <sheetName val="8"/>
      <sheetName val="9"/>
      <sheetName val="COM"/>
      <sheetName val="3ª"/>
      <sheetName val="3Da"/>
      <sheetName val="10"/>
      <sheetName val="11"/>
      <sheetName val="4ª"/>
      <sheetName val="RESUMEN"/>
      <sheetName val="OPERAC"/>
      <sheetName val="DGraficos"/>
      <sheetName val="DENOMINACIONES"/>
      <sheetName val="s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3">
          <cell r="C13" t="str">
            <v>Enero</v>
          </cell>
        </row>
        <row r="14">
          <cell r="C14" t="str">
            <v>Febrero</v>
          </cell>
        </row>
        <row r="15">
          <cell r="C15" t="str">
            <v>Marzo</v>
          </cell>
        </row>
        <row r="16">
          <cell r="C16" t="str">
            <v>Abril</v>
          </cell>
        </row>
        <row r="17">
          <cell r="C17" t="str">
            <v>Mayo</v>
          </cell>
        </row>
        <row r="18">
          <cell r="C18" t="str">
            <v>Junio</v>
          </cell>
        </row>
        <row r="19">
          <cell r="C19" t="str">
            <v>Julio</v>
          </cell>
        </row>
        <row r="20">
          <cell r="C20" t="str">
            <v>Agosto</v>
          </cell>
        </row>
        <row r="21">
          <cell r="C21" t="str">
            <v>Septiembre</v>
          </cell>
        </row>
        <row r="22">
          <cell r="C22" t="str">
            <v>Octubre</v>
          </cell>
        </row>
        <row r="23">
          <cell r="C23" t="str">
            <v>Noviembre</v>
          </cell>
        </row>
        <row r="24">
          <cell r="C24" t="str">
            <v>Diciembre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CVS-V.1a"/>
      <sheetName val="DATOS"/>
      <sheetName val="SUBVENCIONES"/>
      <sheetName val="VES-D"/>
      <sheetName val="VES-IP (2)"/>
      <sheetName val="VES-IP"/>
      <sheetName val="VES-IC"/>
      <sheetName val="VES-ES"/>
      <sheetName val="A-A"/>
      <sheetName val="VSE-F"/>
      <sheetName val="VS-EX"/>
      <sheetName val="RESULTADOS"/>
    </sheetNames>
    <sheetDataSet>
      <sheetData sheetId="0"/>
      <sheetData sheetId="1">
        <row r="23">
          <cell r="E23">
            <v>1</v>
          </cell>
        </row>
        <row r="37">
          <cell r="E37">
            <v>0.21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0.FICHA"/>
      <sheetName val="1.DATOS"/>
      <sheetName val="Prov. E."/>
      <sheetName val="A.Prov1"/>
      <sheetName val="Prov. I."/>
      <sheetName val="A. Prov. I1"/>
      <sheetName val="Fción"/>
      <sheetName val="VASE"/>
      <sheetName val="V.EMOC"/>
      <sheetName val="1.VES"/>
      <sheetName val="2.VES-IP"/>
      <sheetName val="3.VES-IP.I"/>
      <sheetName val="V.INTEGRAL"/>
      <sheetName val="Hoja2"/>
      <sheetName val="MVM1"/>
      <sheetName val="MVM2"/>
      <sheetName val="INFORME"/>
      <sheetName val="Hoja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A25" t="str">
            <v>VALOR AGREGADO</v>
          </cell>
        </row>
        <row r="26">
          <cell r="A26" t="str">
            <v>VALOR MOVILIZADO (I)</v>
          </cell>
        </row>
        <row r="27">
          <cell r="A27" t="str">
            <v>VALOR MOVILIZADO (II)</v>
          </cell>
        </row>
        <row r="29">
          <cell r="A29" t="str">
            <v>VALOR SOCIAL DE MERCADO [VES]</v>
          </cell>
        </row>
        <row r="30">
          <cell r="A30" t="str">
            <v>VALOR SOCIAL ESPECÍFICO     [VSE]</v>
          </cell>
        </row>
        <row r="31">
          <cell r="A31" t="str">
            <v>VALOR SOCIAL INTEGRADO   [VASI]</v>
          </cell>
        </row>
        <row r="32">
          <cell r="A32" t="str">
            <v>VALOR EMOCIONAL</v>
          </cell>
        </row>
        <row r="33">
          <cell r="A33" t="str">
            <v>VALOR SOCIO-EMOCIONAL   [VASE]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5">
          <cell r="G5" t="str">
            <v>Valor Socio-Emocional</v>
          </cell>
          <cell r="H5">
            <v>1</v>
          </cell>
          <cell r="I5">
            <v>1</v>
          </cell>
          <cell r="J5">
            <v>2975576</v>
          </cell>
        </row>
        <row r="6">
          <cell r="G6" t="str">
            <v>Valor Social Integrado</v>
          </cell>
          <cell r="H6">
            <v>1</v>
          </cell>
          <cell r="I6">
            <v>0.87549678557122224</v>
          </cell>
          <cell r="J6">
            <v>2280763</v>
          </cell>
        </row>
        <row r="7">
          <cell r="G7" t="str">
            <v>Valor Social Específico</v>
          </cell>
          <cell r="H7">
            <v>1</v>
          </cell>
          <cell r="I7">
            <v>0.79915420395903836</v>
          </cell>
          <cell r="J7">
            <v>1900344</v>
          </cell>
        </row>
        <row r="8">
          <cell r="G8" t="str">
            <v>Valor Social de Mercado</v>
          </cell>
          <cell r="H8">
            <v>1</v>
          </cell>
          <cell r="I8">
            <v>0.35755676999709046</v>
          </cell>
          <cell r="J8">
            <v>380418</v>
          </cell>
        </row>
        <row r="9">
          <cell r="G9" t="str">
            <v>Resultado Económico</v>
          </cell>
          <cell r="H9">
            <v>1</v>
          </cell>
          <cell r="I9">
            <v>9.1660976733525829E-2</v>
          </cell>
          <cell r="J9">
            <v>25000</v>
          </cell>
        </row>
        <row r="10">
          <cell r="G10">
            <v>0</v>
          </cell>
          <cell r="H10">
            <v>0.5</v>
          </cell>
          <cell r="I10">
            <v>2</v>
          </cell>
          <cell r="J10">
            <v>99.185866666666669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a16" displayName="Tabla16" ref="A12:D28" totalsRowShown="0" headerRowDxfId="6" dataDxfId="4" headerRowBorderDxfId="5">
  <tableColumns count="4">
    <tableColumn id="1" xr3:uid="{00000000-0010-0000-0000-000001000000}" name="VALOR" dataDxfId="3"/>
    <tableColumn id="2" xr3:uid="{00000000-0010-0000-0000-000002000000}" name="RESULTADO" dataDxfId="2"/>
    <tableColumn id="3" xr3:uid="{00000000-0010-0000-0000-000003000000}" name="CONCEPTO" dataDxfId="1"/>
    <tableColumn id="4" xr3:uid="{00000000-0010-0000-0000-000004000000}" name="Columna1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s.coop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4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1" tint="0.34998626667073579"/>
  </sheetPr>
  <dimension ref="A1:Q42"/>
  <sheetViews>
    <sheetView showGridLines="0" showRowColHeaders="0" topLeftCell="A5" workbookViewId="0">
      <selection activeCell="J12" sqref="J12"/>
    </sheetView>
  </sheetViews>
  <sheetFormatPr baseColWidth="10" defaultRowHeight="15"/>
  <cols>
    <col min="5" max="5" width="28.42578125" bestFit="1" customWidth="1"/>
  </cols>
  <sheetData>
    <row r="1" spans="1:17">
      <c r="A1" s="145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14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14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14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>
      <c r="A5" s="1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33">
      <c r="A6" s="145"/>
      <c r="B6" s="4"/>
      <c r="C6" s="4"/>
      <c r="D6" s="4"/>
      <c r="F6" s="5"/>
      <c r="G6" s="5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14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14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>
      <c r="A9" s="14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27">
      <c r="A10" s="145"/>
      <c r="B10" s="4"/>
      <c r="C10" s="4"/>
      <c r="D10" s="4"/>
      <c r="E10" s="146" t="s">
        <v>24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A11" s="145"/>
      <c r="B11" s="4"/>
      <c r="C11" s="4"/>
      <c r="D11" s="4"/>
      <c r="E11" s="1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33.75">
      <c r="A12" s="145"/>
      <c r="B12" s="4"/>
      <c r="C12" s="4"/>
      <c r="D12" s="4"/>
      <c r="E12" s="147" t="str">
        <f>'0.FICHA'!D5:D5</f>
        <v>LANTEGI BATUAK</v>
      </c>
      <c r="F12" s="12"/>
      <c r="G12" s="12"/>
      <c r="H12" s="12"/>
      <c r="I12" s="4"/>
      <c r="J12" s="4"/>
      <c r="K12" s="4"/>
      <c r="L12" s="4"/>
      <c r="M12" s="4"/>
      <c r="N12" s="4"/>
      <c r="O12" s="4"/>
      <c r="P12" s="4"/>
      <c r="Q12" s="4"/>
    </row>
    <row r="13" spans="1:17">
      <c r="A13" s="145"/>
      <c r="B13" s="4"/>
      <c r="C13" s="4"/>
      <c r="D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27">
      <c r="A14" s="145"/>
      <c r="B14" s="4"/>
      <c r="C14" s="4"/>
      <c r="D14" s="4"/>
      <c r="E14" s="148">
        <f>'0.FICHA'!D9</f>
        <v>2017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14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14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>
      <c r="A17" s="14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>
      <c r="A18" s="14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>
      <c r="A19" s="14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>
      <c r="A20" s="14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>
      <c r="A21" s="14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A22" s="14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>
      <c r="A23" s="14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>
      <c r="A24" s="14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>
      <c r="A25" s="14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>
      <c r="A26" s="14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>
      <c r="A27" s="14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A28" s="14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145"/>
    </row>
    <row r="30" spans="1:17">
      <c r="A30" s="145"/>
    </row>
    <row r="31" spans="1:17">
      <c r="A31" s="145"/>
    </row>
    <row r="32" spans="1:17">
      <c r="A32" s="145"/>
    </row>
    <row r="33" spans="1:1">
      <c r="A33" s="145"/>
    </row>
    <row r="34" spans="1:1">
      <c r="A34" s="145"/>
    </row>
    <row r="35" spans="1:1">
      <c r="A35" s="145"/>
    </row>
    <row r="36" spans="1:1">
      <c r="A36" s="145"/>
    </row>
    <row r="37" spans="1:1">
      <c r="A37" s="145"/>
    </row>
    <row r="38" spans="1:1">
      <c r="A38" s="145"/>
    </row>
    <row r="39" spans="1:1">
      <c r="A39" s="145"/>
    </row>
    <row r="40" spans="1:1">
      <c r="A40" s="145"/>
    </row>
    <row r="41" spans="1:1">
      <c r="A41" s="145"/>
    </row>
    <row r="42" spans="1:1">
      <c r="A42" s="145"/>
    </row>
  </sheetData>
  <pageMargins left="0.7" right="0.7" top="0.75" bottom="0.75" header="0.3" footer="0.3"/>
  <pageSetup paperSize="9" orientation="portrait"/>
  <picture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2:Q916"/>
  <sheetViews>
    <sheetView showGridLines="0" zoomScale="50" zoomScaleNormal="50" workbookViewId="0">
      <selection sqref="A1:Q41"/>
    </sheetView>
  </sheetViews>
  <sheetFormatPr baseColWidth="10" defaultColWidth="11.42578125" defaultRowHeight="15"/>
  <cols>
    <col min="1" max="1" width="5.140625" style="382" customWidth="1"/>
    <col min="2" max="10" width="17.140625" style="382" customWidth="1"/>
    <col min="11" max="11" width="15.5703125" style="382" customWidth="1"/>
    <col min="12" max="12" width="11.42578125" style="382"/>
    <col min="13" max="13" width="11.42578125" style="614" customWidth="1"/>
    <col min="14" max="14" width="12.7109375" style="614" customWidth="1"/>
    <col min="15" max="15" width="12.5703125" style="211" customWidth="1"/>
    <col min="16" max="17" width="11.42578125" style="211"/>
    <col min="18" max="16384" width="11.42578125" style="382"/>
  </cols>
  <sheetData>
    <row r="2" spans="2:12" ht="25.5">
      <c r="B2" s="383" t="s">
        <v>0</v>
      </c>
      <c r="C2" s="384" t="s">
        <v>4116</v>
      </c>
      <c r="D2" s="384" t="s">
        <v>15</v>
      </c>
      <c r="E2" s="384" t="s">
        <v>6</v>
      </c>
      <c r="F2" s="384" t="s">
        <v>9</v>
      </c>
      <c r="G2" s="384" t="s">
        <v>11</v>
      </c>
      <c r="H2" s="384" t="s">
        <v>16</v>
      </c>
      <c r="I2" s="384" t="s">
        <v>20</v>
      </c>
      <c r="J2" s="384" t="s">
        <v>3</v>
      </c>
      <c r="K2" s="384" t="s">
        <v>204</v>
      </c>
    </row>
    <row r="3" spans="2:12" ht="25.5">
      <c r="B3" s="383" t="s">
        <v>1</v>
      </c>
      <c r="C3" s="385" t="s">
        <v>118</v>
      </c>
      <c r="D3" s="385" t="s">
        <v>386</v>
      </c>
      <c r="E3" s="385" t="s">
        <v>7</v>
      </c>
      <c r="F3" s="385" t="s">
        <v>10</v>
      </c>
      <c r="G3" s="385" t="s">
        <v>12</v>
      </c>
      <c r="H3" s="385" t="s">
        <v>13</v>
      </c>
      <c r="I3" s="385" t="s">
        <v>21</v>
      </c>
      <c r="J3" s="385" t="s">
        <v>3</v>
      </c>
      <c r="K3" s="385" t="s">
        <v>5</v>
      </c>
    </row>
    <row r="4" spans="2:12">
      <c r="B4" s="383" t="s">
        <v>2</v>
      </c>
      <c r="C4" s="385" t="s">
        <v>8</v>
      </c>
      <c r="D4" s="385" t="s">
        <v>19</v>
      </c>
      <c r="E4" s="385">
        <v>0.35</v>
      </c>
      <c r="F4" s="385">
        <f>I15</f>
        <v>0.17</v>
      </c>
      <c r="G4" s="385">
        <v>0.21</v>
      </c>
      <c r="H4" s="385" t="s">
        <v>19</v>
      </c>
      <c r="I4" s="385" t="s">
        <v>19</v>
      </c>
      <c r="J4" s="385" t="s">
        <v>19</v>
      </c>
      <c r="K4" s="385" t="s">
        <v>19</v>
      </c>
    </row>
    <row r="5" spans="2:12" ht="17.25" customHeight="1">
      <c r="B5" s="383" t="s">
        <v>505</v>
      </c>
      <c r="C5" s="390">
        <f>('DATOS PyG'!B9+'DATOS PyG'!B22)*-1</f>
        <v>47015246</v>
      </c>
      <c r="D5" s="390">
        <f>C5*D15</f>
        <v>9628996.5640396085</v>
      </c>
      <c r="E5" s="390">
        <f>D5*E4</f>
        <v>3370148.7974138628</v>
      </c>
      <c r="F5" s="390">
        <f>D5*F4</f>
        <v>1636929.4158867334</v>
      </c>
      <c r="G5" s="390">
        <f>C5*D16*G4</f>
        <v>2852057.1970587536</v>
      </c>
      <c r="H5" s="390">
        <f>C5*D18</f>
        <v>385590.19295913319</v>
      </c>
      <c r="I5" s="390">
        <f>C5*D17</f>
        <v>1667937.615745855</v>
      </c>
      <c r="J5" s="390">
        <f>C5*D16</f>
        <v>13581224.747898826</v>
      </c>
      <c r="K5" s="390">
        <f>D5-(E5+F5)</f>
        <v>4621918.3507390125</v>
      </c>
    </row>
    <row r="6" spans="2:12">
      <c r="C6" s="387" t="s">
        <v>506</v>
      </c>
      <c r="D6" s="387" t="s">
        <v>507</v>
      </c>
      <c r="E6" s="387" t="s">
        <v>514</v>
      </c>
      <c r="F6" s="387" t="s">
        <v>515</v>
      </c>
      <c r="G6" s="387" t="s">
        <v>510</v>
      </c>
      <c r="H6" s="387" t="s">
        <v>511</v>
      </c>
      <c r="I6" s="387" t="s">
        <v>512</v>
      </c>
      <c r="J6" s="387" t="s">
        <v>516</v>
      </c>
      <c r="K6" s="387" t="s">
        <v>3378</v>
      </c>
      <c r="L6" s="391"/>
    </row>
    <row r="9" spans="2:12">
      <c r="B9" s="383" t="s">
        <v>22</v>
      </c>
      <c r="C9" s="388">
        <f>E5+F5+G5+H5</f>
        <v>8244725.6033184826</v>
      </c>
      <c r="D9" s="389" t="s">
        <v>513</v>
      </c>
    </row>
    <row r="11" spans="2:12">
      <c r="B11" s="383" t="s">
        <v>23</v>
      </c>
      <c r="C11" s="388">
        <f>J5+G5</f>
        <v>16433281.94495758</v>
      </c>
      <c r="D11" s="389" t="s">
        <v>517</v>
      </c>
    </row>
    <row r="14" spans="2:12" ht="23.25" customHeight="1">
      <c r="B14" s="734" t="s">
        <v>518</v>
      </c>
      <c r="C14" s="735"/>
      <c r="D14" s="736"/>
      <c r="E14" s="617" t="s">
        <v>4176</v>
      </c>
      <c r="F14" s="617" t="s">
        <v>4175</v>
      </c>
      <c r="G14" s="429" t="s">
        <v>190</v>
      </c>
      <c r="H14" s="429" t="s">
        <v>3445</v>
      </c>
      <c r="I14" s="429" t="s">
        <v>3377</v>
      </c>
    </row>
    <row r="15" spans="2:12" ht="17.25" customHeight="1">
      <c r="B15" s="733" t="s">
        <v>15</v>
      </c>
      <c r="C15" s="733"/>
      <c r="D15" s="615">
        <f>K24</f>
        <v>0.20480583179421435</v>
      </c>
      <c r="E15" s="615">
        <f>D15*O24</f>
        <v>5.4152468669310415E-2</v>
      </c>
      <c r="F15" s="616">
        <f>O24</f>
        <v>0.2644088217357109</v>
      </c>
      <c r="G15" s="430">
        <f>G24*1000</f>
        <v>40085521.174091168</v>
      </c>
      <c r="H15" s="430">
        <f>G15-(G15*33%)</f>
        <v>26857299.186641082</v>
      </c>
      <c r="I15" s="431">
        <v>0.17</v>
      </c>
    </row>
    <row r="16" spans="2:12" ht="17.25" customHeight="1">
      <c r="B16" s="733" t="s">
        <v>3</v>
      </c>
      <c r="C16" s="733"/>
      <c r="D16" s="615">
        <f>L24</f>
        <v>0.28886852464621426</v>
      </c>
      <c r="E16" s="393"/>
    </row>
    <row r="17" spans="1:17" ht="17.25" customHeight="1">
      <c r="B17" s="733" t="s">
        <v>387</v>
      </c>
      <c r="C17" s="733"/>
      <c r="D17" s="615">
        <f>J24</f>
        <v>3.5476526396264203E-2</v>
      </c>
      <c r="E17" s="393"/>
    </row>
    <row r="18" spans="1:17" ht="17.25" customHeight="1">
      <c r="B18" s="733" t="s">
        <v>388</v>
      </c>
      <c r="C18" s="733"/>
      <c r="D18" s="615">
        <f>I24</f>
        <v>8.201386268597493E-3</v>
      </c>
      <c r="E18" s="393" t="s">
        <v>519</v>
      </c>
    </row>
    <row r="19" spans="1:17" ht="17.25" customHeight="1">
      <c r="E19" s="393"/>
    </row>
    <row r="22" spans="1:17">
      <c r="B22" s="213" t="s">
        <v>101</v>
      </c>
      <c r="C22" s="213" t="s">
        <v>102</v>
      </c>
      <c r="D22" s="213" t="s">
        <v>103</v>
      </c>
    </row>
    <row r="23" spans="1:17" ht="54">
      <c r="A23" s="212"/>
      <c r="B23" s="423"/>
      <c r="C23" s="423"/>
      <c r="D23" s="423"/>
      <c r="E23" s="213" t="s">
        <v>104</v>
      </c>
      <c r="F23" s="214" t="s">
        <v>1568</v>
      </c>
      <c r="G23" s="214" t="s">
        <v>105</v>
      </c>
      <c r="H23" s="214" t="s">
        <v>106</v>
      </c>
      <c r="I23" s="214" t="s">
        <v>1569</v>
      </c>
      <c r="J23" s="214" t="s">
        <v>1570</v>
      </c>
      <c r="K23" s="214" t="s">
        <v>107</v>
      </c>
      <c r="L23" s="214" t="s">
        <v>108</v>
      </c>
      <c r="M23" s="214" t="s">
        <v>4170</v>
      </c>
      <c r="N23" s="214" t="s">
        <v>4171</v>
      </c>
      <c r="O23" s="214" t="s">
        <v>4172</v>
      </c>
      <c r="P23" s="214" t="s">
        <v>4173</v>
      </c>
      <c r="Q23" s="214" t="s">
        <v>4174</v>
      </c>
    </row>
    <row r="24" spans="1:17" s="406" customFormat="1">
      <c r="A24" s="422"/>
      <c r="B24" s="423"/>
      <c r="C24" s="423"/>
      <c r="D24" s="423"/>
      <c r="E24" s="423"/>
      <c r="F24" s="424"/>
      <c r="G24" s="427">
        <f>(K25/H25)*1000</f>
        <v>40085.521174091169</v>
      </c>
      <c r="H24" s="426"/>
      <c r="I24" s="426">
        <f>I25/$G$25</f>
        <v>8.201386268597493E-3</v>
      </c>
      <c r="J24" s="426">
        <f>J25/$G$25</f>
        <v>3.5476526396264203E-2</v>
      </c>
      <c r="K24" s="426">
        <f>K25/$G$25</f>
        <v>0.20480583179421435</v>
      </c>
      <c r="L24" s="426">
        <f>L25/$G$25</f>
        <v>0.28886852464621426</v>
      </c>
      <c r="M24" s="214"/>
      <c r="N24" s="214"/>
      <c r="O24" s="607">
        <f>Q24/P24</f>
        <v>0.2644088217357109</v>
      </c>
      <c r="P24" s="6">
        <f>SUM(P26:P1022)</f>
        <v>2474528.2205089964</v>
      </c>
      <c r="Q24" s="6">
        <f>SUM(Q26:Q923)</f>
        <v>654287.09113654913</v>
      </c>
    </row>
    <row r="25" spans="1:17" s="406" customFormat="1">
      <c r="A25" s="422"/>
      <c r="B25" s="135"/>
      <c r="C25" s="136"/>
      <c r="D25" s="136"/>
      <c r="E25" s="423"/>
      <c r="F25" s="424"/>
      <c r="G25" s="425">
        <f>SUM(G26:G916)</f>
        <v>12082465.481771018</v>
      </c>
      <c r="H25" s="425">
        <f t="shared" ref="H25:L25" si="0">SUM(H26:H916)</f>
        <v>61732</v>
      </c>
      <c r="I25" s="425">
        <f t="shared" si="0"/>
        <v>99092.966493000014</v>
      </c>
      <c r="J25" s="425">
        <f t="shared" si="0"/>
        <v>428643.90559600061</v>
      </c>
      <c r="K25" s="425">
        <f t="shared" si="0"/>
        <v>2474559.3931189962</v>
      </c>
      <c r="L25" s="425">
        <f t="shared" si="0"/>
        <v>3490243.9778080047</v>
      </c>
      <c r="M25" s="214"/>
      <c r="N25" s="214"/>
      <c r="O25" s="607"/>
      <c r="P25" s="6"/>
      <c r="Q25" s="6"/>
    </row>
    <row r="26" spans="1:17" hidden="1">
      <c r="A26" s="136"/>
      <c r="B26" s="137"/>
      <c r="C26" s="138"/>
      <c r="D26" s="138"/>
      <c r="E26" s="136"/>
      <c r="F26" s="419"/>
      <c r="G26" s="140"/>
      <c r="H26" s="140"/>
      <c r="I26" s="140"/>
      <c r="J26" s="140"/>
      <c r="K26" s="140"/>
      <c r="L26" s="140"/>
      <c r="M26" s="143" t="s">
        <v>189</v>
      </c>
      <c r="N26" s="143" t="s">
        <v>189</v>
      </c>
      <c r="P26" s="608"/>
    </row>
    <row r="27" spans="1:17" hidden="1">
      <c r="A27" s="138"/>
      <c r="B27" s="135"/>
      <c r="C27" s="136"/>
      <c r="D27" s="136"/>
      <c r="E27" s="138"/>
      <c r="F27" s="420"/>
      <c r="G27" s="141"/>
      <c r="H27" s="141"/>
      <c r="I27" s="142"/>
      <c r="J27" s="141"/>
      <c r="K27" s="142"/>
      <c r="L27" s="141"/>
      <c r="M27" s="141">
        <v>296</v>
      </c>
      <c r="N27" s="141">
        <v>2108</v>
      </c>
      <c r="O27" s="211">
        <f>M27/(M27+N27)</f>
        <v>0.12312811980033278</v>
      </c>
      <c r="P27" s="609"/>
    </row>
    <row r="28" spans="1:17" hidden="1">
      <c r="A28" s="136"/>
      <c r="B28" s="137"/>
      <c r="C28" s="138"/>
      <c r="D28" s="138"/>
      <c r="E28" s="136"/>
      <c r="F28" s="419"/>
      <c r="G28" s="140"/>
      <c r="H28" s="140"/>
      <c r="I28" s="140"/>
      <c r="J28" s="140"/>
      <c r="K28" s="140"/>
      <c r="L28" s="140"/>
      <c r="M28" s="140">
        <v>499</v>
      </c>
      <c r="N28" s="140">
        <v>1700</v>
      </c>
      <c r="O28" s="211">
        <f t="shared" ref="O28:O90" si="1">M28/(M28+N28)</f>
        <v>0.22692132787630742</v>
      </c>
      <c r="P28" s="608"/>
    </row>
    <row r="29" spans="1:17" hidden="1">
      <c r="A29" s="138"/>
      <c r="B29" s="135"/>
      <c r="C29" s="136"/>
      <c r="D29" s="136"/>
      <c r="E29" s="138"/>
      <c r="F29" s="420"/>
      <c r="G29" s="141"/>
      <c r="H29" s="141"/>
      <c r="I29" s="141"/>
      <c r="J29" s="141"/>
      <c r="K29" s="141"/>
      <c r="L29" s="141"/>
      <c r="M29" s="141">
        <v>423</v>
      </c>
      <c r="N29" s="141">
        <v>1206</v>
      </c>
      <c r="O29" s="211">
        <f t="shared" si="1"/>
        <v>0.25966850828729282</v>
      </c>
      <c r="P29" s="610"/>
    </row>
    <row r="30" spans="1:17" hidden="1">
      <c r="A30" s="136"/>
      <c r="B30" s="137"/>
      <c r="C30" s="138"/>
      <c r="D30" s="138"/>
      <c r="E30" s="136"/>
      <c r="F30" s="419"/>
      <c r="G30" s="140"/>
      <c r="H30" s="140"/>
      <c r="I30" s="140"/>
      <c r="J30" s="140"/>
      <c r="K30" s="140"/>
      <c r="L30" s="140"/>
      <c r="M30" s="143" t="s">
        <v>189</v>
      </c>
      <c r="N30" s="143" t="s">
        <v>189</v>
      </c>
      <c r="P30" s="608"/>
    </row>
    <row r="31" spans="1:17" hidden="1">
      <c r="A31" s="138"/>
      <c r="B31" s="135"/>
      <c r="C31" s="136"/>
      <c r="D31" s="136"/>
      <c r="E31" s="138"/>
      <c r="F31" s="420"/>
      <c r="G31" s="141"/>
      <c r="H31" s="141"/>
      <c r="I31" s="141"/>
      <c r="J31" s="141"/>
      <c r="K31" s="141"/>
      <c r="L31" s="141"/>
      <c r="M31" s="141">
        <v>478</v>
      </c>
      <c r="N31" s="141">
        <v>499</v>
      </c>
      <c r="O31" s="211">
        <f t="shared" si="1"/>
        <v>0.48925281473899696</v>
      </c>
      <c r="P31" s="610"/>
    </row>
    <row r="32" spans="1:17" ht="42" hidden="1">
      <c r="A32" s="136"/>
      <c r="B32" s="137" t="s">
        <v>1574</v>
      </c>
      <c r="C32" s="138" t="s">
        <v>819</v>
      </c>
      <c r="D32" s="138" t="s">
        <v>811</v>
      </c>
      <c r="E32" s="136"/>
      <c r="F32" s="419"/>
      <c r="G32" s="140"/>
      <c r="H32" s="140"/>
      <c r="I32" s="140"/>
      <c r="J32" s="140"/>
      <c r="K32" s="140"/>
      <c r="L32" s="140"/>
      <c r="M32" s="140">
        <v>465</v>
      </c>
      <c r="N32" s="140">
        <v>1942</v>
      </c>
      <c r="O32" s="211">
        <f t="shared" si="1"/>
        <v>0.19318653926049023</v>
      </c>
      <c r="P32" s="608"/>
    </row>
    <row r="33" spans="1:17">
      <c r="A33" s="138" t="s">
        <v>197</v>
      </c>
      <c r="B33" s="135" t="s">
        <v>1575</v>
      </c>
      <c r="C33" s="136" t="s">
        <v>949</v>
      </c>
      <c r="D33" s="136" t="s">
        <v>1576</v>
      </c>
      <c r="E33" s="138" t="s">
        <v>1571</v>
      </c>
      <c r="F33" s="420">
        <v>43220</v>
      </c>
      <c r="G33" s="141">
        <v>843015</v>
      </c>
      <c r="H33" s="141">
        <v>301</v>
      </c>
      <c r="I33" s="141"/>
      <c r="J33" s="141">
        <v>-11403</v>
      </c>
      <c r="K33" s="141">
        <v>21478</v>
      </c>
      <c r="L33" s="141">
        <v>21097</v>
      </c>
      <c r="M33" s="141">
        <v>293</v>
      </c>
      <c r="N33" s="141">
        <v>1373</v>
      </c>
      <c r="O33" s="149">
        <f t="shared" si="1"/>
        <v>0.1758703481392557</v>
      </c>
      <c r="P33" s="611">
        <v>21478</v>
      </c>
      <c r="Q33" s="141">
        <f>O33*P33</f>
        <v>3777.3433373349339</v>
      </c>
    </row>
    <row r="34" spans="1:17" ht="21">
      <c r="A34" s="136" t="s">
        <v>198</v>
      </c>
      <c r="B34" s="137" t="s">
        <v>1577</v>
      </c>
      <c r="C34" s="138" t="s">
        <v>1331</v>
      </c>
      <c r="D34" s="138" t="s">
        <v>188</v>
      </c>
      <c r="E34" s="136" t="s">
        <v>1571</v>
      </c>
      <c r="F34" s="419">
        <v>43100</v>
      </c>
      <c r="G34" s="140">
        <v>507124</v>
      </c>
      <c r="H34" s="140">
        <v>2404</v>
      </c>
      <c r="I34" s="140">
        <v>8301</v>
      </c>
      <c r="J34" s="140">
        <v>51152</v>
      </c>
      <c r="K34" s="140">
        <v>130223</v>
      </c>
      <c r="L34" s="140">
        <v>197603</v>
      </c>
      <c r="M34" s="140">
        <v>1164</v>
      </c>
      <c r="N34" s="140">
        <v>307</v>
      </c>
      <c r="O34" s="211">
        <f t="shared" si="1"/>
        <v>0.7912984364377974</v>
      </c>
      <c r="P34" s="608">
        <v>130223</v>
      </c>
      <c r="Q34" s="141">
        <f t="shared" ref="Q34:Q97" si="2">O34*P34</f>
        <v>103045.2562882393</v>
      </c>
    </row>
    <row r="35" spans="1:17" ht="21">
      <c r="A35" s="138" t="s">
        <v>199</v>
      </c>
      <c r="B35" s="135" t="s">
        <v>1578</v>
      </c>
      <c r="C35" s="136" t="s">
        <v>1053</v>
      </c>
      <c r="D35" s="136" t="s">
        <v>713</v>
      </c>
      <c r="E35" s="138" t="s">
        <v>1571</v>
      </c>
      <c r="F35" s="420">
        <v>43100</v>
      </c>
      <c r="G35" s="141">
        <v>434888.163</v>
      </c>
      <c r="H35" s="141">
        <v>1864</v>
      </c>
      <c r="I35" s="141">
        <v>675.16499999999996</v>
      </c>
      <c r="J35" s="141">
        <v>-2557.65</v>
      </c>
      <c r="K35" s="141">
        <v>61520.075000000004</v>
      </c>
      <c r="L35" s="141">
        <v>83618.856</v>
      </c>
      <c r="M35" s="141">
        <v>244</v>
      </c>
      <c r="N35" s="141">
        <v>1232</v>
      </c>
      <c r="O35" s="211">
        <f t="shared" si="1"/>
        <v>0.16531165311653118</v>
      </c>
      <c r="P35" s="610">
        <v>61520.075000000004</v>
      </c>
      <c r="Q35" s="141">
        <f t="shared" si="2"/>
        <v>10169.985298102982</v>
      </c>
    </row>
    <row r="36" spans="1:17" ht="21">
      <c r="A36" s="136" t="s">
        <v>200</v>
      </c>
      <c r="B36" s="137" t="s">
        <v>1579</v>
      </c>
      <c r="C36" s="138" t="s">
        <v>972</v>
      </c>
      <c r="D36" s="138" t="s">
        <v>188</v>
      </c>
      <c r="E36" s="136" t="s">
        <v>1571</v>
      </c>
      <c r="F36" s="419">
        <v>43100</v>
      </c>
      <c r="G36" s="140">
        <v>331534.57387000002</v>
      </c>
      <c r="H36" s="140">
        <v>1627</v>
      </c>
      <c r="I36" s="140">
        <v>1822.9294600000001</v>
      </c>
      <c r="J36" s="140">
        <v>7097.4498199999998</v>
      </c>
      <c r="K36" s="140">
        <v>56719.944200000005</v>
      </c>
      <c r="L36" s="140">
        <v>72552.054149999996</v>
      </c>
      <c r="M36" s="140">
        <v>105</v>
      </c>
      <c r="N36" s="140">
        <v>450</v>
      </c>
      <c r="O36" s="211">
        <f t="shared" si="1"/>
        <v>0.1891891891891892</v>
      </c>
      <c r="P36" s="608">
        <v>56719.944200000005</v>
      </c>
      <c r="Q36" s="141">
        <f t="shared" si="2"/>
        <v>10730.800254054056</v>
      </c>
    </row>
    <row r="37" spans="1:17">
      <c r="A37" s="138" t="s">
        <v>201</v>
      </c>
      <c r="B37" s="135" t="s">
        <v>1581</v>
      </c>
      <c r="C37" s="136" t="s">
        <v>1055</v>
      </c>
      <c r="D37" s="136" t="s">
        <v>971</v>
      </c>
      <c r="E37" s="138" t="s">
        <v>1571</v>
      </c>
      <c r="F37" s="420">
        <v>43100</v>
      </c>
      <c r="G37" s="141">
        <v>318674.03899999999</v>
      </c>
      <c r="H37" s="141">
        <v>962</v>
      </c>
      <c r="I37" s="141">
        <v>3357.3519999999999</v>
      </c>
      <c r="J37" s="141">
        <v>5618.1120000000001</v>
      </c>
      <c r="K37" s="141">
        <v>47674.567000000003</v>
      </c>
      <c r="L37" s="141">
        <v>57995.718000000001</v>
      </c>
      <c r="M37" s="141">
        <v>857</v>
      </c>
      <c r="N37" s="141">
        <v>1544</v>
      </c>
      <c r="O37" s="211">
        <f t="shared" si="1"/>
        <v>0.35693461057892545</v>
      </c>
      <c r="P37" s="610">
        <v>47674.567000000003</v>
      </c>
      <c r="Q37" s="141">
        <f t="shared" si="2"/>
        <v>17016.703006663891</v>
      </c>
    </row>
    <row r="38" spans="1:17" ht="21">
      <c r="A38" s="136" t="s">
        <v>1580</v>
      </c>
      <c r="B38" s="137" t="s">
        <v>1583</v>
      </c>
      <c r="C38" s="138" t="s">
        <v>1092</v>
      </c>
      <c r="D38" s="138" t="s">
        <v>1584</v>
      </c>
      <c r="E38" s="136" t="s">
        <v>1571</v>
      </c>
      <c r="F38" s="419">
        <v>43100</v>
      </c>
      <c r="G38" s="140">
        <v>317396</v>
      </c>
      <c r="H38" s="140">
        <v>334</v>
      </c>
      <c r="I38" s="140">
        <v>13831</v>
      </c>
      <c r="J38" s="140">
        <v>77112</v>
      </c>
      <c r="K38" s="140">
        <v>24948</v>
      </c>
      <c r="L38" s="140">
        <v>232126</v>
      </c>
      <c r="M38" s="140">
        <v>309</v>
      </c>
      <c r="N38" s="140">
        <v>746</v>
      </c>
      <c r="O38" s="211">
        <f t="shared" si="1"/>
        <v>0.29289099526066353</v>
      </c>
      <c r="P38" s="608">
        <v>24948</v>
      </c>
      <c r="Q38" s="141">
        <f t="shared" si="2"/>
        <v>7307.0445497630335</v>
      </c>
    </row>
    <row r="39" spans="1:17" ht="31.5">
      <c r="A39" s="138" t="s">
        <v>1582</v>
      </c>
      <c r="B39" s="135" t="s">
        <v>1586</v>
      </c>
      <c r="C39" s="136" t="s">
        <v>1083</v>
      </c>
      <c r="D39" s="136" t="s">
        <v>969</v>
      </c>
      <c r="E39" s="138" t="s">
        <v>1571</v>
      </c>
      <c r="F39" s="420">
        <v>43100</v>
      </c>
      <c r="G39" s="141">
        <v>281607</v>
      </c>
      <c r="H39" s="141">
        <v>2374</v>
      </c>
      <c r="I39" s="141"/>
      <c r="J39" s="141">
        <v>15609</v>
      </c>
      <c r="K39" s="141">
        <v>102895</v>
      </c>
      <c r="L39" s="141">
        <v>119237</v>
      </c>
      <c r="M39" s="141">
        <v>383</v>
      </c>
      <c r="N39" s="141">
        <v>669</v>
      </c>
      <c r="O39" s="211">
        <f t="shared" si="1"/>
        <v>0.36406844106463876</v>
      </c>
      <c r="P39" s="610">
        <v>102895</v>
      </c>
      <c r="Q39" s="141">
        <f t="shared" si="2"/>
        <v>37460.822243346003</v>
      </c>
    </row>
    <row r="40" spans="1:17" ht="42">
      <c r="A40" s="136" t="s">
        <v>1585</v>
      </c>
      <c r="B40" s="137" t="s">
        <v>1588</v>
      </c>
      <c r="C40" s="138" t="s">
        <v>897</v>
      </c>
      <c r="D40" s="138" t="s">
        <v>1312</v>
      </c>
      <c r="E40" s="136" t="s">
        <v>1571</v>
      </c>
      <c r="F40" s="419">
        <v>43100</v>
      </c>
      <c r="G40" s="140">
        <v>265358.08199999999</v>
      </c>
      <c r="H40" s="140">
        <v>1765</v>
      </c>
      <c r="I40" s="140">
        <v>2188.9290000000001</v>
      </c>
      <c r="J40" s="140">
        <v>5111.6410000000005</v>
      </c>
      <c r="K40" s="140">
        <v>80056.224000000002</v>
      </c>
      <c r="L40" s="140">
        <v>114732.607</v>
      </c>
      <c r="M40" s="140">
        <v>31</v>
      </c>
      <c r="N40" s="140">
        <v>128</v>
      </c>
      <c r="O40" s="211">
        <f t="shared" si="1"/>
        <v>0.19496855345911951</v>
      </c>
      <c r="P40" s="608">
        <v>80056.224000000002</v>
      </c>
      <c r="Q40" s="141">
        <f t="shared" si="2"/>
        <v>15608.446188679247</v>
      </c>
    </row>
    <row r="41" spans="1:17" ht="21">
      <c r="A41" s="138" t="s">
        <v>1587</v>
      </c>
      <c r="B41" s="135" t="s">
        <v>1590</v>
      </c>
      <c r="C41" s="136" t="s">
        <v>1435</v>
      </c>
      <c r="D41" s="136" t="s">
        <v>188</v>
      </c>
      <c r="E41" s="138" t="s">
        <v>1571</v>
      </c>
      <c r="F41" s="420">
        <v>43100</v>
      </c>
      <c r="G41" s="141">
        <v>262794.40549999999</v>
      </c>
      <c r="H41" s="141">
        <v>1471</v>
      </c>
      <c r="I41" s="141">
        <v>162.02963</v>
      </c>
      <c r="J41" s="141">
        <v>2352.5394699999997</v>
      </c>
      <c r="K41" s="141">
        <v>41807.430349999995</v>
      </c>
      <c r="L41" s="141">
        <v>50886.295870000002</v>
      </c>
      <c r="M41" s="141">
        <v>1269</v>
      </c>
      <c r="N41" s="141">
        <v>440</v>
      </c>
      <c r="O41" s="211">
        <f t="shared" si="1"/>
        <v>0.74253949678174369</v>
      </c>
      <c r="P41" s="610">
        <v>41807.430349999995</v>
      </c>
      <c r="Q41" s="141">
        <f t="shared" si="2"/>
        <v>31043.668293826795</v>
      </c>
    </row>
    <row r="42" spans="1:17" ht="21">
      <c r="A42" s="136" t="s">
        <v>1589</v>
      </c>
      <c r="B42" s="137" t="s">
        <v>1592</v>
      </c>
      <c r="C42" s="138" t="s">
        <v>808</v>
      </c>
      <c r="D42" s="138" t="s">
        <v>800</v>
      </c>
      <c r="E42" s="136" t="s">
        <v>1571</v>
      </c>
      <c r="F42" s="419">
        <v>43100</v>
      </c>
      <c r="G42" s="140">
        <v>246446</v>
      </c>
      <c r="H42" s="140">
        <v>1493</v>
      </c>
      <c r="I42" s="140">
        <v>4659</v>
      </c>
      <c r="J42" s="140">
        <v>10367</v>
      </c>
      <c r="K42" s="140">
        <v>62307</v>
      </c>
      <c r="L42" s="140">
        <v>95451</v>
      </c>
      <c r="M42" s="140">
        <v>139</v>
      </c>
      <c r="N42" s="140">
        <v>415</v>
      </c>
      <c r="O42" s="211">
        <f t="shared" si="1"/>
        <v>0.25090252707581229</v>
      </c>
      <c r="P42" s="608">
        <v>62307</v>
      </c>
      <c r="Q42" s="141">
        <f t="shared" si="2"/>
        <v>15632.983754512636</v>
      </c>
    </row>
    <row r="43" spans="1:17" ht="21">
      <c r="A43" s="138" t="s">
        <v>1591</v>
      </c>
      <c r="B43" s="135" t="s">
        <v>1594</v>
      </c>
      <c r="C43" s="136" t="s">
        <v>665</v>
      </c>
      <c r="D43" s="136" t="s">
        <v>1595</v>
      </c>
      <c r="E43" s="138" t="s">
        <v>1571</v>
      </c>
      <c r="F43" s="420">
        <v>43100</v>
      </c>
      <c r="G43" s="141">
        <v>226695.144</v>
      </c>
      <c r="H43" s="141">
        <v>555</v>
      </c>
      <c r="I43" s="141">
        <v>1136.732</v>
      </c>
      <c r="J43" s="141">
        <v>4140.1469999999999</v>
      </c>
      <c r="K43" s="141">
        <v>32895.978000000003</v>
      </c>
      <c r="L43" s="141">
        <v>42749.892</v>
      </c>
      <c r="M43" s="141">
        <v>716</v>
      </c>
      <c r="N43" s="141">
        <v>183</v>
      </c>
      <c r="O43" s="211">
        <f t="shared" si="1"/>
        <v>0.79644048943270296</v>
      </c>
      <c r="P43" s="610">
        <v>32895.978000000003</v>
      </c>
      <c r="Q43" s="141">
        <f t="shared" si="2"/>
        <v>26199.688818687431</v>
      </c>
    </row>
    <row r="44" spans="1:17" ht="21">
      <c r="A44" s="136" t="s">
        <v>1593</v>
      </c>
      <c r="B44" s="137" t="s">
        <v>1597</v>
      </c>
      <c r="C44" s="138" t="s">
        <v>877</v>
      </c>
      <c r="D44" s="138" t="s">
        <v>1573</v>
      </c>
      <c r="E44" s="136" t="s">
        <v>1571</v>
      </c>
      <c r="F44" s="419">
        <v>43100</v>
      </c>
      <c r="G44" s="140">
        <v>219811.82816999999</v>
      </c>
      <c r="H44" s="140">
        <v>2288</v>
      </c>
      <c r="I44" s="140">
        <v>702.91451000000006</v>
      </c>
      <c r="J44" s="140">
        <v>6253.3565700000008</v>
      </c>
      <c r="K44" s="140">
        <v>55259.108070000002</v>
      </c>
      <c r="L44" s="140">
        <v>67680.850949000014</v>
      </c>
      <c r="M44" s="140">
        <v>77</v>
      </c>
      <c r="N44" s="140">
        <v>345</v>
      </c>
      <c r="O44" s="211">
        <f t="shared" si="1"/>
        <v>0.18246445497630331</v>
      </c>
      <c r="P44" s="608">
        <v>55259.108070000002</v>
      </c>
      <c r="Q44" s="141">
        <f t="shared" si="2"/>
        <v>10082.823036469195</v>
      </c>
    </row>
    <row r="45" spans="1:17" ht="42">
      <c r="A45" s="138" t="s">
        <v>1596</v>
      </c>
      <c r="B45" s="135" t="s">
        <v>1599</v>
      </c>
      <c r="C45" s="136" t="s">
        <v>1376</v>
      </c>
      <c r="D45" s="136" t="s">
        <v>1375</v>
      </c>
      <c r="E45" s="138" t="s">
        <v>1571</v>
      </c>
      <c r="F45" s="420">
        <v>43100</v>
      </c>
      <c r="G45" s="141">
        <v>184207</v>
      </c>
      <c r="H45" s="141">
        <v>1075</v>
      </c>
      <c r="I45" s="141">
        <v>555</v>
      </c>
      <c r="J45" s="141">
        <v>-1224</v>
      </c>
      <c r="K45" s="141">
        <v>53400</v>
      </c>
      <c r="L45" s="141">
        <v>58709</v>
      </c>
      <c r="M45" s="142" t="s">
        <v>189</v>
      </c>
      <c r="N45" s="142" t="s">
        <v>189</v>
      </c>
      <c r="P45" s="610">
        <v>53400</v>
      </c>
      <c r="Q45" s="141">
        <f t="shared" si="2"/>
        <v>0</v>
      </c>
    </row>
    <row r="46" spans="1:17" ht="21">
      <c r="A46" s="136" t="s">
        <v>1598</v>
      </c>
      <c r="B46" s="137" t="s">
        <v>1601</v>
      </c>
      <c r="C46" s="138" t="s">
        <v>768</v>
      </c>
      <c r="D46" s="138" t="s">
        <v>1602</v>
      </c>
      <c r="E46" s="136" t="s">
        <v>1571</v>
      </c>
      <c r="F46" s="419">
        <v>43100</v>
      </c>
      <c r="G46" s="140">
        <v>175339.91978</v>
      </c>
      <c r="H46" s="140">
        <v>140</v>
      </c>
      <c r="I46" s="140"/>
      <c r="J46" s="140">
        <v>70.955560000000006</v>
      </c>
      <c r="K46" s="140">
        <v>5606.1889000000001</v>
      </c>
      <c r="L46" s="140">
        <v>6362.0673700000007</v>
      </c>
      <c r="M46" s="140">
        <v>150</v>
      </c>
      <c r="N46" s="140">
        <v>703</v>
      </c>
      <c r="O46" s="211">
        <f t="shared" si="1"/>
        <v>0.17584994138335286</v>
      </c>
      <c r="P46" s="608">
        <v>5606.1889000000001</v>
      </c>
      <c r="Q46" s="141">
        <f t="shared" si="2"/>
        <v>985.84798944900342</v>
      </c>
    </row>
    <row r="47" spans="1:17" ht="21">
      <c r="A47" s="138" t="s">
        <v>1600</v>
      </c>
      <c r="B47" s="135" t="s">
        <v>1604</v>
      </c>
      <c r="C47" s="136" t="s">
        <v>1410</v>
      </c>
      <c r="D47" s="136" t="s">
        <v>1409</v>
      </c>
      <c r="E47" s="138" t="s">
        <v>1571</v>
      </c>
      <c r="F47" s="420">
        <v>43100</v>
      </c>
      <c r="G47" s="141">
        <v>170665.79300000001</v>
      </c>
      <c r="H47" s="141">
        <v>1682</v>
      </c>
      <c r="I47" s="141">
        <v>2313.4369999999999</v>
      </c>
      <c r="J47" s="141">
        <v>6854.4180000000006</v>
      </c>
      <c r="K47" s="141">
        <v>59015.976999999999</v>
      </c>
      <c r="L47" s="141">
        <v>73119.096999999994</v>
      </c>
      <c r="M47" s="141">
        <v>18</v>
      </c>
      <c r="N47" s="141">
        <v>143</v>
      </c>
      <c r="O47" s="211">
        <f t="shared" si="1"/>
        <v>0.11180124223602485</v>
      </c>
      <c r="P47" s="610">
        <v>59015.976999999999</v>
      </c>
      <c r="Q47" s="141">
        <f t="shared" si="2"/>
        <v>6598.0595403726711</v>
      </c>
    </row>
    <row r="48" spans="1:17" ht="42">
      <c r="A48" s="136" t="s">
        <v>1603</v>
      </c>
      <c r="B48" s="137" t="s">
        <v>1606</v>
      </c>
      <c r="C48" s="138" t="s">
        <v>867</v>
      </c>
      <c r="D48" s="138" t="s">
        <v>1607</v>
      </c>
      <c r="E48" s="136" t="s">
        <v>1571</v>
      </c>
      <c r="F48" s="419">
        <v>43100</v>
      </c>
      <c r="G48" s="140">
        <v>169577</v>
      </c>
      <c r="H48" s="140">
        <v>554</v>
      </c>
      <c r="I48" s="140">
        <v>58</v>
      </c>
      <c r="J48" s="140">
        <v>6441</v>
      </c>
      <c r="K48" s="140">
        <v>27889</v>
      </c>
      <c r="L48" s="140">
        <v>38665</v>
      </c>
      <c r="M48" s="140">
        <v>112</v>
      </c>
      <c r="N48" s="140">
        <v>206</v>
      </c>
      <c r="O48" s="211">
        <f t="shared" si="1"/>
        <v>0.3522012578616352</v>
      </c>
      <c r="P48" s="608">
        <v>27889</v>
      </c>
      <c r="Q48" s="141">
        <f t="shared" si="2"/>
        <v>9822.5408805031439</v>
      </c>
    </row>
    <row r="49" spans="1:17" ht="31.5">
      <c r="A49" s="138" t="s">
        <v>1605</v>
      </c>
      <c r="B49" s="135" t="s">
        <v>1609</v>
      </c>
      <c r="C49" s="136" t="s">
        <v>1476</v>
      </c>
      <c r="D49" s="136" t="s">
        <v>1448</v>
      </c>
      <c r="E49" s="138" t="s">
        <v>1571</v>
      </c>
      <c r="F49" s="420">
        <v>42735</v>
      </c>
      <c r="G49" s="141">
        <v>167247</v>
      </c>
      <c r="H49" s="141">
        <v>1110</v>
      </c>
      <c r="I49" s="141"/>
      <c r="J49" s="141">
        <v>991</v>
      </c>
      <c r="K49" s="141">
        <v>36443</v>
      </c>
      <c r="L49" s="141">
        <v>40110</v>
      </c>
      <c r="M49" s="141">
        <v>1240</v>
      </c>
      <c r="N49" s="141">
        <v>856</v>
      </c>
      <c r="O49" s="211">
        <f t="shared" si="1"/>
        <v>0.59160305343511455</v>
      </c>
      <c r="P49" s="610">
        <v>36443</v>
      </c>
      <c r="Q49" s="141">
        <f t="shared" si="2"/>
        <v>21559.790076335881</v>
      </c>
    </row>
    <row r="50" spans="1:17" ht="42">
      <c r="A50" s="136" t="s">
        <v>1608</v>
      </c>
      <c r="B50" s="139" t="s">
        <v>1611</v>
      </c>
      <c r="C50" s="138" t="s">
        <v>1063</v>
      </c>
      <c r="D50" s="138" t="s">
        <v>1312</v>
      </c>
      <c r="E50" s="136" t="s">
        <v>1571</v>
      </c>
      <c r="F50" s="419">
        <v>43100</v>
      </c>
      <c r="G50" s="140">
        <v>165656.753</v>
      </c>
      <c r="H50" s="140">
        <v>867</v>
      </c>
      <c r="I50" s="140">
        <v>684.702</v>
      </c>
      <c r="J50" s="140">
        <v>1745.1970000000001</v>
      </c>
      <c r="K50" s="140">
        <v>16796.84</v>
      </c>
      <c r="L50" s="140">
        <v>23695.457000000002</v>
      </c>
      <c r="M50" s="140">
        <v>60</v>
      </c>
      <c r="N50" s="140">
        <v>256</v>
      </c>
      <c r="O50" s="211">
        <f t="shared" si="1"/>
        <v>0.189873417721519</v>
      </c>
      <c r="P50" s="608">
        <v>16796.84</v>
      </c>
      <c r="Q50" s="141">
        <f t="shared" si="2"/>
        <v>3189.2734177215193</v>
      </c>
    </row>
    <row r="51" spans="1:17" ht="31.5">
      <c r="A51" s="138" t="s">
        <v>1610</v>
      </c>
      <c r="B51" s="135" t="s">
        <v>1613</v>
      </c>
      <c r="C51" s="136" t="s">
        <v>743</v>
      </c>
      <c r="D51" s="136" t="s">
        <v>744</v>
      </c>
      <c r="E51" s="138" t="s">
        <v>1571</v>
      </c>
      <c r="F51" s="420">
        <v>42735</v>
      </c>
      <c r="G51" s="141">
        <v>154379.99310999998</v>
      </c>
      <c r="H51" s="141">
        <v>719</v>
      </c>
      <c r="I51" s="141"/>
      <c r="J51" s="141">
        <v>-9.8692800000000016</v>
      </c>
      <c r="K51" s="141">
        <v>22825.33956</v>
      </c>
      <c r="L51" s="141">
        <v>27775.922989999999</v>
      </c>
      <c r="M51" s="141">
        <v>182</v>
      </c>
      <c r="N51" s="141">
        <v>172</v>
      </c>
      <c r="O51" s="211">
        <f t="shared" si="1"/>
        <v>0.51412429378531077</v>
      </c>
      <c r="P51" s="610">
        <v>22825.33956</v>
      </c>
      <c r="Q51" s="141">
        <f t="shared" si="2"/>
        <v>11735.061581694916</v>
      </c>
    </row>
    <row r="52" spans="1:17" ht="21">
      <c r="A52" s="136" t="s">
        <v>1612</v>
      </c>
      <c r="B52" s="137" t="s">
        <v>1615</v>
      </c>
      <c r="C52" s="138" t="s">
        <v>723</v>
      </c>
      <c r="D52" s="138" t="s">
        <v>1616</v>
      </c>
      <c r="E52" s="136" t="s">
        <v>1571</v>
      </c>
      <c r="F52" s="419">
        <v>43100</v>
      </c>
      <c r="G52" s="140">
        <v>154188</v>
      </c>
      <c r="H52" s="140">
        <v>864</v>
      </c>
      <c r="I52" s="140">
        <v>5</v>
      </c>
      <c r="J52" s="140">
        <v>11577</v>
      </c>
      <c r="K52" s="140">
        <v>39768</v>
      </c>
      <c r="L52" s="140">
        <v>54309</v>
      </c>
      <c r="M52" s="143" t="s">
        <v>189</v>
      </c>
      <c r="N52" s="143" t="s">
        <v>189</v>
      </c>
      <c r="P52" s="608">
        <v>39768</v>
      </c>
      <c r="Q52" s="141">
        <f t="shared" si="2"/>
        <v>0</v>
      </c>
    </row>
    <row r="53" spans="1:17" ht="42">
      <c r="A53" s="138" t="s">
        <v>1614</v>
      </c>
      <c r="B53" s="135" t="s">
        <v>1618</v>
      </c>
      <c r="C53" s="136" t="s">
        <v>1052</v>
      </c>
      <c r="D53" s="136" t="s">
        <v>1619</v>
      </c>
      <c r="E53" s="138" t="s">
        <v>1571</v>
      </c>
      <c r="F53" s="420">
        <v>43100</v>
      </c>
      <c r="G53" s="141">
        <v>142822.476</v>
      </c>
      <c r="H53" s="141">
        <v>161</v>
      </c>
      <c r="I53" s="142" t="s">
        <v>189</v>
      </c>
      <c r="J53" s="141">
        <v>2157.4520000000002</v>
      </c>
      <c r="K53" s="141">
        <v>7807.71</v>
      </c>
      <c r="L53" s="141">
        <v>13286.228000000001</v>
      </c>
      <c r="M53" s="141">
        <v>468</v>
      </c>
      <c r="N53" s="141">
        <v>289</v>
      </c>
      <c r="O53" s="211">
        <f t="shared" si="1"/>
        <v>0.61822985468956404</v>
      </c>
      <c r="P53" s="610">
        <v>7807.71</v>
      </c>
      <c r="Q53" s="141">
        <f t="shared" si="2"/>
        <v>4826.9594187582561</v>
      </c>
    </row>
    <row r="54" spans="1:17" ht="31.5">
      <c r="A54" s="136" t="s">
        <v>1617</v>
      </c>
      <c r="B54" s="137" t="s">
        <v>1621</v>
      </c>
      <c r="C54" s="138" t="s">
        <v>652</v>
      </c>
      <c r="D54" s="138" t="s">
        <v>1622</v>
      </c>
      <c r="E54" s="136" t="s">
        <v>1571</v>
      </c>
      <c r="F54" s="419">
        <v>42825</v>
      </c>
      <c r="G54" s="140">
        <v>136522.63800000001</v>
      </c>
      <c r="H54" s="140">
        <v>413</v>
      </c>
      <c r="I54" s="140">
        <v>1469.3389999999999</v>
      </c>
      <c r="J54" s="140">
        <v>4404.9920000000002</v>
      </c>
      <c r="K54" s="140">
        <v>19700.941999999999</v>
      </c>
      <c r="L54" s="140">
        <v>30034.063000000002</v>
      </c>
      <c r="M54" s="140">
        <v>332</v>
      </c>
      <c r="N54" s="140">
        <v>74</v>
      </c>
      <c r="O54" s="211">
        <f t="shared" si="1"/>
        <v>0.81773399014778325</v>
      </c>
      <c r="P54" s="608">
        <v>19700.941999999999</v>
      </c>
      <c r="Q54" s="141">
        <f t="shared" si="2"/>
        <v>16110.129911330048</v>
      </c>
    </row>
    <row r="55" spans="1:17" ht="52.5">
      <c r="A55" s="138" t="s">
        <v>1620</v>
      </c>
      <c r="B55" s="421" t="s">
        <v>1624</v>
      </c>
      <c r="C55" s="136" t="s">
        <v>932</v>
      </c>
      <c r="D55" s="136" t="s">
        <v>1625</v>
      </c>
      <c r="E55" s="138" t="s">
        <v>1571</v>
      </c>
      <c r="F55" s="420">
        <v>42916</v>
      </c>
      <c r="G55" s="141">
        <v>133479.32800000001</v>
      </c>
      <c r="H55" s="141">
        <v>416</v>
      </c>
      <c r="I55" s="141">
        <v>1493.3340000000001</v>
      </c>
      <c r="J55" s="141">
        <v>4647.5749999999998</v>
      </c>
      <c r="K55" s="141">
        <v>20303.879000000001</v>
      </c>
      <c r="L55" s="141">
        <v>33821.353999999999</v>
      </c>
      <c r="M55" s="141">
        <v>50</v>
      </c>
      <c r="N55" s="141">
        <v>56</v>
      </c>
      <c r="O55" s="211">
        <f t="shared" si="1"/>
        <v>0.47169811320754718</v>
      </c>
      <c r="P55" s="610">
        <v>20303.879000000001</v>
      </c>
      <c r="Q55" s="141">
        <f t="shared" si="2"/>
        <v>9577.30141509434</v>
      </c>
    </row>
    <row r="56" spans="1:17" ht="21">
      <c r="A56" s="136" t="s">
        <v>1623</v>
      </c>
      <c r="B56" s="137" t="s">
        <v>1627</v>
      </c>
      <c r="C56" s="138" t="s">
        <v>655</v>
      </c>
      <c r="D56" s="138" t="s">
        <v>1622</v>
      </c>
      <c r="E56" s="136" t="s">
        <v>1571</v>
      </c>
      <c r="F56" s="419">
        <v>42735</v>
      </c>
      <c r="G56" s="140">
        <v>131846.90135</v>
      </c>
      <c r="H56" s="140">
        <v>2096</v>
      </c>
      <c r="I56" s="140"/>
      <c r="J56" s="140">
        <v>2420.3868400000001</v>
      </c>
      <c r="K56" s="140">
        <v>89100.454180000001</v>
      </c>
      <c r="L56" s="140">
        <v>95281.381900000008</v>
      </c>
      <c r="M56" s="140">
        <v>591</v>
      </c>
      <c r="N56" s="140">
        <v>1077</v>
      </c>
      <c r="O56" s="211">
        <f t="shared" si="1"/>
        <v>0.35431654676258995</v>
      </c>
      <c r="P56" s="608">
        <v>89100.454180000001</v>
      </c>
      <c r="Q56" s="141">
        <f t="shared" si="2"/>
        <v>31569.765240035973</v>
      </c>
    </row>
    <row r="57" spans="1:17">
      <c r="A57" s="138" t="s">
        <v>1626</v>
      </c>
      <c r="B57" s="135" t="s">
        <v>1629</v>
      </c>
      <c r="C57" s="136" t="s">
        <v>814</v>
      </c>
      <c r="D57" s="136" t="s">
        <v>1572</v>
      </c>
      <c r="E57" s="138" t="s">
        <v>1571</v>
      </c>
      <c r="F57" s="420">
        <v>43100</v>
      </c>
      <c r="G57" s="141">
        <v>124440.40151000001</v>
      </c>
      <c r="H57" s="141">
        <v>322</v>
      </c>
      <c r="I57" s="141">
        <v>1841.2865200000001</v>
      </c>
      <c r="J57" s="141">
        <v>4227.7496499999997</v>
      </c>
      <c r="K57" s="141">
        <v>13074.683419999999</v>
      </c>
      <c r="L57" s="141">
        <v>20033.738670000002</v>
      </c>
      <c r="M57" s="142" t="s">
        <v>189</v>
      </c>
      <c r="N57" s="142" t="s">
        <v>189</v>
      </c>
      <c r="P57" s="610">
        <v>13074.683419999999</v>
      </c>
      <c r="Q57" s="141">
        <f t="shared" si="2"/>
        <v>0</v>
      </c>
    </row>
    <row r="58" spans="1:17" ht="52.5">
      <c r="A58" s="136" t="s">
        <v>1628</v>
      </c>
      <c r="B58" s="137" t="s">
        <v>1631</v>
      </c>
      <c r="C58" s="138" t="s">
        <v>830</v>
      </c>
      <c r="D58" s="138" t="s">
        <v>811</v>
      </c>
      <c r="E58" s="136" t="s">
        <v>1571</v>
      </c>
      <c r="F58" s="419">
        <v>43100</v>
      </c>
      <c r="G58" s="140">
        <v>124172.29029999999</v>
      </c>
      <c r="H58" s="140">
        <v>335</v>
      </c>
      <c r="I58" s="140">
        <v>494.00931000000003</v>
      </c>
      <c r="J58" s="140">
        <v>1966.4214299999999</v>
      </c>
      <c r="K58" s="140">
        <v>13648.845580000001</v>
      </c>
      <c r="L58" s="140">
        <v>16700.042389000002</v>
      </c>
      <c r="M58" s="140">
        <v>131</v>
      </c>
      <c r="N58" s="140">
        <v>654</v>
      </c>
      <c r="O58" s="211">
        <f t="shared" si="1"/>
        <v>0.16687898089171974</v>
      </c>
      <c r="P58" s="608">
        <v>13648.845580000001</v>
      </c>
      <c r="Q58" s="141">
        <f t="shared" si="2"/>
        <v>2277.7054407388537</v>
      </c>
    </row>
    <row r="59" spans="1:17" ht="31.5">
      <c r="A59" s="138" t="s">
        <v>1630</v>
      </c>
      <c r="B59" s="135" t="s">
        <v>1633</v>
      </c>
      <c r="C59" s="136" t="s">
        <v>1560</v>
      </c>
      <c r="D59" s="136" t="s">
        <v>1279</v>
      </c>
      <c r="E59" s="138" t="s">
        <v>1571</v>
      </c>
      <c r="F59" s="420">
        <v>43100</v>
      </c>
      <c r="G59" s="141">
        <v>122886.95539</v>
      </c>
      <c r="H59" s="141">
        <v>504</v>
      </c>
      <c r="I59" s="141">
        <v>1042.35257</v>
      </c>
      <c r="J59" s="141">
        <v>2999.5582600000002</v>
      </c>
      <c r="K59" s="141">
        <v>21602.227449999998</v>
      </c>
      <c r="L59" s="141">
        <v>26746.802048999998</v>
      </c>
      <c r="M59" s="141">
        <v>368</v>
      </c>
      <c r="N59" s="141">
        <v>206</v>
      </c>
      <c r="O59" s="211">
        <f t="shared" si="1"/>
        <v>0.64111498257839716</v>
      </c>
      <c r="P59" s="610">
        <v>21602.227449999998</v>
      </c>
      <c r="Q59" s="141">
        <f t="shared" si="2"/>
        <v>13849.511675261321</v>
      </c>
    </row>
    <row r="60" spans="1:17" ht="21">
      <c r="A60" s="136" t="s">
        <v>1632</v>
      </c>
      <c r="B60" s="137" t="s">
        <v>1635</v>
      </c>
      <c r="C60" s="138" t="s">
        <v>742</v>
      </c>
      <c r="D60" s="138" t="s">
        <v>744</v>
      </c>
      <c r="E60" s="136" t="s">
        <v>1571</v>
      </c>
      <c r="F60" s="419">
        <v>43131</v>
      </c>
      <c r="G60" s="140">
        <v>120766</v>
      </c>
      <c r="H60" s="140">
        <v>799</v>
      </c>
      <c r="I60" s="140">
        <v>1675</v>
      </c>
      <c r="J60" s="140">
        <v>3348</v>
      </c>
      <c r="K60" s="140">
        <v>17061</v>
      </c>
      <c r="L60" s="140">
        <v>24620</v>
      </c>
      <c r="M60" s="140">
        <v>89</v>
      </c>
      <c r="N60" s="140">
        <v>273</v>
      </c>
      <c r="O60" s="211">
        <f t="shared" si="1"/>
        <v>0.24585635359116023</v>
      </c>
      <c r="P60" s="608">
        <v>17061</v>
      </c>
      <c r="Q60" s="141">
        <f t="shared" si="2"/>
        <v>4194.5552486187844</v>
      </c>
    </row>
    <row r="61" spans="1:17">
      <c r="A61" s="138" t="s">
        <v>1634</v>
      </c>
      <c r="B61" s="135" t="s">
        <v>1637</v>
      </c>
      <c r="C61" s="136" t="s">
        <v>1561</v>
      </c>
      <c r="D61" s="136" t="s">
        <v>686</v>
      </c>
      <c r="E61" s="138" t="s">
        <v>1571</v>
      </c>
      <c r="F61" s="420">
        <v>43100</v>
      </c>
      <c r="G61" s="141">
        <v>114128</v>
      </c>
      <c r="H61" s="141">
        <v>406</v>
      </c>
      <c r="I61" s="141">
        <v>411</v>
      </c>
      <c r="J61" s="141">
        <v>1533</v>
      </c>
      <c r="K61" s="141">
        <v>19769</v>
      </c>
      <c r="L61" s="141">
        <v>26312</v>
      </c>
      <c r="M61" s="141">
        <v>22</v>
      </c>
      <c r="N61" s="141">
        <v>90</v>
      </c>
      <c r="O61" s="211">
        <f t="shared" si="1"/>
        <v>0.19642857142857142</v>
      </c>
      <c r="P61" s="610">
        <v>19769</v>
      </c>
      <c r="Q61" s="141">
        <f t="shared" si="2"/>
        <v>3883.1964285714284</v>
      </c>
    </row>
    <row r="62" spans="1:17">
      <c r="A62" s="136" t="s">
        <v>1636</v>
      </c>
      <c r="B62" s="137" t="s">
        <v>1639</v>
      </c>
      <c r="C62" s="138" t="s">
        <v>1077</v>
      </c>
      <c r="D62" s="138" t="s">
        <v>188</v>
      </c>
      <c r="E62" s="136" t="s">
        <v>1571</v>
      </c>
      <c r="F62" s="419">
        <v>43100</v>
      </c>
      <c r="G62" s="140">
        <v>103527.70984000001</v>
      </c>
      <c r="H62" s="140">
        <v>106</v>
      </c>
      <c r="I62" s="140">
        <v>259.81925000000001</v>
      </c>
      <c r="J62" s="140">
        <v>673.13489000000004</v>
      </c>
      <c r="K62" s="140">
        <v>3514.6216400000003</v>
      </c>
      <c r="L62" s="140">
        <v>4695.1382800000001</v>
      </c>
      <c r="M62" s="140">
        <v>36</v>
      </c>
      <c r="N62" s="140">
        <v>177</v>
      </c>
      <c r="O62" s="211">
        <f t="shared" si="1"/>
        <v>0.16901408450704225</v>
      </c>
      <c r="P62" s="608">
        <v>3514.6216400000003</v>
      </c>
      <c r="Q62" s="141">
        <f t="shared" si="2"/>
        <v>594.02055887323945</v>
      </c>
    </row>
    <row r="63" spans="1:17" ht="31.5">
      <c r="A63" s="138" t="s">
        <v>1638</v>
      </c>
      <c r="B63" s="135" t="s">
        <v>1641</v>
      </c>
      <c r="C63" s="136" t="s">
        <v>822</v>
      </c>
      <c r="D63" s="136" t="s">
        <v>811</v>
      </c>
      <c r="E63" s="138" t="s">
        <v>1571</v>
      </c>
      <c r="F63" s="420">
        <v>43100</v>
      </c>
      <c r="G63" s="141">
        <v>100416</v>
      </c>
      <c r="H63" s="141">
        <v>1669</v>
      </c>
      <c r="I63" s="141"/>
      <c r="J63" s="141">
        <v>28672</v>
      </c>
      <c r="K63" s="141">
        <v>67521</v>
      </c>
      <c r="L63" s="141">
        <v>97642</v>
      </c>
      <c r="M63" s="141">
        <v>62</v>
      </c>
      <c r="N63" s="141">
        <v>303</v>
      </c>
      <c r="O63" s="211">
        <f t="shared" si="1"/>
        <v>0.16986301369863013</v>
      </c>
      <c r="P63" s="610">
        <v>67521</v>
      </c>
      <c r="Q63" s="141">
        <f t="shared" si="2"/>
        <v>11469.320547945204</v>
      </c>
    </row>
    <row r="64" spans="1:17">
      <c r="A64" s="136" t="s">
        <v>1640</v>
      </c>
      <c r="B64" s="137" t="s">
        <v>1643</v>
      </c>
      <c r="C64" s="138" t="s">
        <v>1446</v>
      </c>
      <c r="D64" s="138" t="s">
        <v>1429</v>
      </c>
      <c r="E64" s="136" t="s">
        <v>1571</v>
      </c>
      <c r="F64" s="419">
        <v>43100</v>
      </c>
      <c r="G64" s="140">
        <v>100305.61544000001</v>
      </c>
      <c r="H64" s="140">
        <v>14</v>
      </c>
      <c r="I64" s="140">
        <v>0.1171</v>
      </c>
      <c r="J64" s="140">
        <v>0.30113000000000001</v>
      </c>
      <c r="K64" s="140">
        <v>924.92530000000011</v>
      </c>
      <c r="L64" s="140">
        <v>955.84486000000015</v>
      </c>
      <c r="M64" s="140">
        <v>654</v>
      </c>
      <c r="N64" s="140">
        <v>655</v>
      </c>
      <c r="O64" s="211">
        <f t="shared" si="1"/>
        <v>0.49961802902979374</v>
      </c>
      <c r="P64" s="608">
        <v>924.92530000000011</v>
      </c>
      <c r="Q64" s="141">
        <f t="shared" si="2"/>
        <v>462.10935538579076</v>
      </c>
    </row>
    <row r="65" spans="1:17" ht="21">
      <c r="A65" s="138" t="s">
        <v>1642</v>
      </c>
      <c r="B65" s="135" t="s">
        <v>1645</v>
      </c>
      <c r="C65" s="136" t="s">
        <v>730</v>
      </c>
      <c r="D65" s="136" t="s">
        <v>726</v>
      </c>
      <c r="E65" s="138" t="s">
        <v>1571</v>
      </c>
      <c r="F65" s="420">
        <v>42978</v>
      </c>
      <c r="G65" s="141">
        <v>98522</v>
      </c>
      <c r="H65" s="141">
        <v>546</v>
      </c>
      <c r="I65" s="141">
        <v>2372</v>
      </c>
      <c r="J65" s="141">
        <v>6062</v>
      </c>
      <c r="K65" s="141">
        <v>10402</v>
      </c>
      <c r="L65" s="141">
        <v>21606</v>
      </c>
      <c r="M65" s="141">
        <v>28</v>
      </c>
      <c r="N65" s="141">
        <v>132</v>
      </c>
      <c r="O65" s="211">
        <f t="shared" si="1"/>
        <v>0.17499999999999999</v>
      </c>
      <c r="P65" s="610">
        <v>10402</v>
      </c>
      <c r="Q65" s="141">
        <f t="shared" si="2"/>
        <v>1820.35</v>
      </c>
    </row>
    <row r="66" spans="1:17" ht="21">
      <c r="A66" s="136" t="s">
        <v>1644</v>
      </c>
      <c r="B66" s="137" t="s">
        <v>1647</v>
      </c>
      <c r="C66" s="138" t="s">
        <v>1081</v>
      </c>
      <c r="D66" s="138" t="s">
        <v>188</v>
      </c>
      <c r="E66" s="136" t="s">
        <v>1571</v>
      </c>
      <c r="F66" s="419">
        <v>43100</v>
      </c>
      <c r="G66" s="140">
        <v>98270</v>
      </c>
      <c r="H66" s="140">
        <v>364</v>
      </c>
      <c r="I66" s="140">
        <v>2796</v>
      </c>
      <c r="J66" s="140">
        <v>3587</v>
      </c>
      <c r="K66" s="140">
        <v>26119</v>
      </c>
      <c r="L66" s="140">
        <v>39040</v>
      </c>
      <c r="M66" s="140">
        <v>60</v>
      </c>
      <c r="N66" s="140">
        <v>259</v>
      </c>
      <c r="O66" s="211">
        <f t="shared" si="1"/>
        <v>0.18808777429467086</v>
      </c>
      <c r="P66" s="608">
        <v>26119</v>
      </c>
      <c r="Q66" s="141">
        <f t="shared" si="2"/>
        <v>4912.6645768025082</v>
      </c>
    </row>
    <row r="67" spans="1:17" ht="31.5">
      <c r="A67" s="138" t="s">
        <v>1646</v>
      </c>
      <c r="B67" s="135" t="s">
        <v>1649</v>
      </c>
      <c r="C67" s="136" t="s">
        <v>1155</v>
      </c>
      <c r="D67" s="136" t="s">
        <v>1156</v>
      </c>
      <c r="E67" s="138" t="s">
        <v>1571</v>
      </c>
      <c r="F67" s="420">
        <v>42735</v>
      </c>
      <c r="G67" s="141">
        <v>93151.115000000005</v>
      </c>
      <c r="H67" s="141">
        <v>768</v>
      </c>
      <c r="I67" s="141">
        <v>1046.2650000000001</v>
      </c>
      <c r="J67" s="141">
        <v>37537.182999999997</v>
      </c>
      <c r="K67" s="141">
        <v>34584.044000000002</v>
      </c>
      <c r="L67" s="141">
        <v>81775.944000000003</v>
      </c>
      <c r="M67" s="141">
        <v>33</v>
      </c>
      <c r="N67" s="141">
        <v>230</v>
      </c>
      <c r="O67" s="211">
        <f t="shared" si="1"/>
        <v>0.12547528517110265</v>
      </c>
      <c r="P67" s="610">
        <v>34584.044000000002</v>
      </c>
      <c r="Q67" s="141">
        <f t="shared" si="2"/>
        <v>4339.4427832699621</v>
      </c>
    </row>
    <row r="68" spans="1:17" ht="42">
      <c r="A68" s="136" t="s">
        <v>1648</v>
      </c>
      <c r="B68" s="137" t="s">
        <v>1651</v>
      </c>
      <c r="C68" s="138" t="s">
        <v>1535</v>
      </c>
      <c r="D68" s="138" t="s">
        <v>1279</v>
      </c>
      <c r="E68" s="136" t="s">
        <v>1571</v>
      </c>
      <c r="F68" s="419">
        <v>43100</v>
      </c>
      <c r="G68" s="140">
        <v>92887.32789</v>
      </c>
      <c r="H68" s="140">
        <v>109</v>
      </c>
      <c r="I68" s="140">
        <v>288.74837000000002</v>
      </c>
      <c r="J68" s="140">
        <v>636.61126000000002</v>
      </c>
      <c r="K68" s="140">
        <v>3182.9902000000002</v>
      </c>
      <c r="L68" s="140">
        <v>4536.7659199999998</v>
      </c>
      <c r="M68" s="140">
        <v>50</v>
      </c>
      <c r="N68" s="140">
        <v>236</v>
      </c>
      <c r="O68" s="211">
        <f t="shared" si="1"/>
        <v>0.17482517482517482</v>
      </c>
      <c r="P68" s="608">
        <v>3182.9902000000002</v>
      </c>
      <c r="Q68" s="141">
        <f t="shared" si="2"/>
        <v>556.46681818181821</v>
      </c>
    </row>
    <row r="69" spans="1:17" ht="31.5">
      <c r="A69" s="138" t="s">
        <v>1650</v>
      </c>
      <c r="B69" s="135" t="s">
        <v>1653</v>
      </c>
      <c r="C69" s="136" t="s">
        <v>1008</v>
      </c>
      <c r="D69" s="136" t="s">
        <v>975</v>
      </c>
      <c r="E69" s="138" t="s">
        <v>1571</v>
      </c>
      <c r="F69" s="420">
        <v>43100</v>
      </c>
      <c r="G69" s="141">
        <v>92260</v>
      </c>
      <c r="H69" s="141">
        <v>221</v>
      </c>
      <c r="I69" s="141"/>
      <c r="J69" s="141">
        <v>2028</v>
      </c>
      <c r="K69" s="141">
        <v>10550</v>
      </c>
      <c r="L69" s="141">
        <v>13263</v>
      </c>
      <c r="M69" s="141">
        <v>31</v>
      </c>
      <c r="N69" s="141">
        <v>241</v>
      </c>
      <c r="O69" s="211">
        <f t="shared" si="1"/>
        <v>0.11397058823529412</v>
      </c>
      <c r="P69" s="610">
        <v>10550</v>
      </c>
      <c r="Q69" s="141">
        <f t="shared" si="2"/>
        <v>1202.3897058823529</v>
      </c>
    </row>
    <row r="70" spans="1:17" ht="21">
      <c r="A70" s="136" t="s">
        <v>1652</v>
      </c>
      <c r="B70" s="137" t="s">
        <v>1655</v>
      </c>
      <c r="C70" s="138" t="s">
        <v>1096</v>
      </c>
      <c r="D70" s="138" t="s">
        <v>1656</v>
      </c>
      <c r="E70" s="136" t="s">
        <v>1571</v>
      </c>
      <c r="F70" s="419">
        <v>43100</v>
      </c>
      <c r="G70" s="140">
        <v>86536</v>
      </c>
      <c r="H70" s="140">
        <v>365</v>
      </c>
      <c r="I70" s="140">
        <v>1625</v>
      </c>
      <c r="J70" s="140">
        <v>5659</v>
      </c>
      <c r="K70" s="140">
        <v>21008</v>
      </c>
      <c r="L70" s="140">
        <v>32215</v>
      </c>
      <c r="M70" s="140">
        <v>244</v>
      </c>
      <c r="N70" s="140">
        <v>770</v>
      </c>
      <c r="O70" s="211">
        <f t="shared" si="1"/>
        <v>0.24063116370808679</v>
      </c>
      <c r="P70" s="608">
        <v>21008</v>
      </c>
      <c r="Q70" s="141">
        <f t="shared" si="2"/>
        <v>5055.1794871794873</v>
      </c>
    </row>
    <row r="71" spans="1:17" ht="21">
      <c r="A71" s="138" t="s">
        <v>1654</v>
      </c>
      <c r="B71" s="421" t="s">
        <v>1658</v>
      </c>
      <c r="C71" s="136" t="s">
        <v>1179</v>
      </c>
      <c r="D71" s="136" t="s">
        <v>1168</v>
      </c>
      <c r="E71" s="138" t="s">
        <v>1571</v>
      </c>
      <c r="F71" s="420">
        <v>43100</v>
      </c>
      <c r="G71" s="141">
        <v>84745</v>
      </c>
      <c r="H71" s="141">
        <v>1308</v>
      </c>
      <c r="I71" s="141">
        <v>470</v>
      </c>
      <c r="J71" s="141">
        <v>1335</v>
      </c>
      <c r="K71" s="141">
        <v>29537</v>
      </c>
      <c r="L71" s="141">
        <v>49115</v>
      </c>
      <c r="M71" s="141">
        <v>27</v>
      </c>
      <c r="N71" s="141">
        <v>177</v>
      </c>
      <c r="O71" s="211">
        <f t="shared" si="1"/>
        <v>0.13235294117647059</v>
      </c>
      <c r="P71" s="610">
        <v>29537</v>
      </c>
      <c r="Q71" s="141">
        <f t="shared" si="2"/>
        <v>3909.3088235294117</v>
      </c>
    </row>
    <row r="72" spans="1:17" ht="31.5">
      <c r="A72" s="136" t="s">
        <v>1657</v>
      </c>
      <c r="B72" s="137" t="s">
        <v>1660</v>
      </c>
      <c r="C72" s="138" t="s">
        <v>1353</v>
      </c>
      <c r="D72" s="138" t="s">
        <v>188</v>
      </c>
      <c r="E72" s="136" t="s">
        <v>1571</v>
      </c>
      <c r="F72" s="419">
        <v>42004</v>
      </c>
      <c r="G72" s="140">
        <v>84002.216379999998</v>
      </c>
      <c r="H72" s="140">
        <v>161</v>
      </c>
      <c r="I72" s="140">
        <v>485.35301000000004</v>
      </c>
      <c r="J72" s="140">
        <v>3729.8565100000001</v>
      </c>
      <c r="K72" s="140">
        <v>8535.5192779999998</v>
      </c>
      <c r="L72" s="140">
        <v>13999.858047999998</v>
      </c>
      <c r="M72" s="140">
        <v>25</v>
      </c>
      <c r="N72" s="140">
        <v>107</v>
      </c>
      <c r="O72" s="211">
        <f t="shared" si="1"/>
        <v>0.18939393939393939</v>
      </c>
      <c r="P72" s="608">
        <v>8535.5192779999998</v>
      </c>
      <c r="Q72" s="141">
        <f t="shared" si="2"/>
        <v>1616.5756208333332</v>
      </c>
    </row>
    <row r="73" spans="1:17" ht="31.5">
      <c r="A73" s="138" t="s">
        <v>1659</v>
      </c>
      <c r="B73" s="135" t="s">
        <v>1662</v>
      </c>
      <c r="C73" s="136" t="s">
        <v>1510</v>
      </c>
      <c r="D73" s="136" t="s">
        <v>1501</v>
      </c>
      <c r="E73" s="138" t="s">
        <v>1571</v>
      </c>
      <c r="F73" s="420">
        <v>43100</v>
      </c>
      <c r="G73" s="141">
        <v>76338</v>
      </c>
      <c r="H73" s="141">
        <v>265</v>
      </c>
      <c r="I73" s="141">
        <v>347</v>
      </c>
      <c r="J73" s="141">
        <v>1419</v>
      </c>
      <c r="K73" s="141">
        <v>14629</v>
      </c>
      <c r="L73" s="141">
        <v>17420</v>
      </c>
      <c r="M73" s="141">
        <v>64</v>
      </c>
      <c r="N73" s="141">
        <v>111</v>
      </c>
      <c r="O73" s="211">
        <f t="shared" si="1"/>
        <v>0.36571428571428571</v>
      </c>
      <c r="P73" s="610">
        <v>14629</v>
      </c>
      <c r="Q73" s="141">
        <f t="shared" si="2"/>
        <v>5350.0342857142859</v>
      </c>
    </row>
    <row r="74" spans="1:17" ht="42">
      <c r="A74" s="136" t="s">
        <v>1661</v>
      </c>
      <c r="B74" s="137" t="s">
        <v>1664</v>
      </c>
      <c r="C74" s="138" t="s">
        <v>999</v>
      </c>
      <c r="D74" s="138" t="s">
        <v>975</v>
      </c>
      <c r="E74" s="136" t="s">
        <v>1571</v>
      </c>
      <c r="F74" s="419">
        <v>43100</v>
      </c>
      <c r="G74" s="140">
        <v>73104</v>
      </c>
      <c r="H74" s="140">
        <v>310</v>
      </c>
      <c r="I74" s="140">
        <v>136</v>
      </c>
      <c r="J74" s="140">
        <v>530</v>
      </c>
      <c r="K74" s="140">
        <v>16021</v>
      </c>
      <c r="L74" s="140">
        <v>18330</v>
      </c>
      <c r="M74" s="143" t="s">
        <v>189</v>
      </c>
      <c r="N74" s="143" t="s">
        <v>189</v>
      </c>
      <c r="P74" s="608">
        <v>16021</v>
      </c>
      <c r="Q74" s="141">
        <f t="shared" si="2"/>
        <v>0</v>
      </c>
    </row>
    <row r="75" spans="1:17" ht="31.5">
      <c r="A75" s="138" t="s">
        <v>1663</v>
      </c>
      <c r="B75" s="135" t="s">
        <v>1666</v>
      </c>
      <c r="C75" s="136" t="s">
        <v>1070</v>
      </c>
      <c r="D75" s="136" t="s">
        <v>188</v>
      </c>
      <c r="E75" s="138" t="s">
        <v>1571</v>
      </c>
      <c r="F75" s="420">
        <v>42735</v>
      </c>
      <c r="G75" s="141">
        <v>71437.118000000002</v>
      </c>
      <c r="H75" s="141">
        <v>275</v>
      </c>
      <c r="I75" s="141">
        <v>1028.0530000000001</v>
      </c>
      <c r="J75" s="141">
        <v>3328.36</v>
      </c>
      <c r="K75" s="141">
        <v>14133.423000000001</v>
      </c>
      <c r="L75" s="141">
        <v>20436.34</v>
      </c>
      <c r="M75" s="141">
        <v>15</v>
      </c>
      <c r="N75" s="141">
        <v>66</v>
      </c>
      <c r="O75" s="211">
        <f t="shared" si="1"/>
        <v>0.18518518518518517</v>
      </c>
      <c r="P75" s="610">
        <v>14133.423000000001</v>
      </c>
      <c r="Q75" s="141">
        <f t="shared" si="2"/>
        <v>2617.3005555555555</v>
      </c>
    </row>
    <row r="76" spans="1:17" ht="21">
      <c r="A76" s="136" t="s">
        <v>1665</v>
      </c>
      <c r="B76" s="137" t="s">
        <v>1668</v>
      </c>
      <c r="C76" s="138" t="s">
        <v>904</v>
      </c>
      <c r="D76" s="138" t="s">
        <v>1669</v>
      </c>
      <c r="E76" s="136" t="s">
        <v>1571</v>
      </c>
      <c r="F76" s="419">
        <v>42735</v>
      </c>
      <c r="G76" s="140">
        <v>65691.48</v>
      </c>
      <c r="H76" s="140">
        <v>299</v>
      </c>
      <c r="I76" s="140">
        <v>249.643</v>
      </c>
      <c r="J76" s="140">
        <v>1166.4580000000001</v>
      </c>
      <c r="K76" s="140">
        <v>11222.33</v>
      </c>
      <c r="L76" s="140">
        <v>13326.223</v>
      </c>
      <c r="M76" s="140">
        <v>22</v>
      </c>
      <c r="N76" s="140">
        <v>98</v>
      </c>
      <c r="O76" s="211">
        <f t="shared" si="1"/>
        <v>0.18333333333333332</v>
      </c>
      <c r="P76" s="608">
        <v>11222.33</v>
      </c>
      <c r="Q76" s="141">
        <f t="shared" si="2"/>
        <v>2057.4271666666664</v>
      </c>
    </row>
    <row r="77" spans="1:17" ht="52.5">
      <c r="A77" s="138" t="s">
        <v>1667</v>
      </c>
      <c r="B77" s="135" t="s">
        <v>1671</v>
      </c>
      <c r="C77" s="136" t="s">
        <v>1143</v>
      </c>
      <c r="D77" s="136" t="s">
        <v>1142</v>
      </c>
      <c r="E77" s="138" t="s">
        <v>1571</v>
      </c>
      <c r="F77" s="420">
        <v>43100</v>
      </c>
      <c r="G77" s="141">
        <v>60054.351999999999</v>
      </c>
      <c r="H77" s="141">
        <v>1014</v>
      </c>
      <c r="I77" s="141">
        <v>130.55700000000002</v>
      </c>
      <c r="J77" s="141">
        <v>7042.8829999999998</v>
      </c>
      <c r="K77" s="141">
        <v>37595.688999999998</v>
      </c>
      <c r="L77" s="141">
        <v>46517.914000000004</v>
      </c>
      <c r="M77" s="141">
        <v>42</v>
      </c>
      <c r="N77" s="141">
        <v>90</v>
      </c>
      <c r="O77" s="211">
        <f t="shared" si="1"/>
        <v>0.31818181818181818</v>
      </c>
      <c r="P77" s="610">
        <v>37595.688999999998</v>
      </c>
      <c r="Q77" s="141">
        <f t="shared" si="2"/>
        <v>11962.264681818182</v>
      </c>
    </row>
    <row r="78" spans="1:17">
      <c r="A78" s="136" t="s">
        <v>1670</v>
      </c>
      <c r="B78" s="137" t="s">
        <v>1673</v>
      </c>
      <c r="C78" s="138" t="s">
        <v>692</v>
      </c>
      <c r="D78" s="138" t="s">
        <v>689</v>
      </c>
      <c r="E78" s="136" t="s">
        <v>1571</v>
      </c>
      <c r="F78" s="419">
        <v>43100</v>
      </c>
      <c r="G78" s="140">
        <v>57690</v>
      </c>
      <c r="H78" s="140">
        <v>213</v>
      </c>
      <c r="I78" s="140">
        <v>790</v>
      </c>
      <c r="J78" s="140">
        <v>2597</v>
      </c>
      <c r="K78" s="140">
        <v>13351</v>
      </c>
      <c r="L78" s="140">
        <v>18317</v>
      </c>
      <c r="M78" s="140">
        <v>45</v>
      </c>
      <c r="N78" s="140">
        <v>92</v>
      </c>
      <c r="O78" s="211">
        <f t="shared" si="1"/>
        <v>0.32846715328467152</v>
      </c>
      <c r="P78" s="608">
        <v>13351</v>
      </c>
      <c r="Q78" s="141">
        <f t="shared" si="2"/>
        <v>4385.3649635036491</v>
      </c>
    </row>
    <row r="79" spans="1:17" ht="42">
      <c r="A79" s="138" t="s">
        <v>1672</v>
      </c>
      <c r="B79" s="135" t="s">
        <v>1675</v>
      </c>
      <c r="C79" s="136" t="s">
        <v>841</v>
      </c>
      <c r="D79" s="136" t="s">
        <v>811</v>
      </c>
      <c r="E79" s="138" t="s">
        <v>1571</v>
      </c>
      <c r="F79" s="420">
        <v>43100</v>
      </c>
      <c r="G79" s="141">
        <v>56294.886170000005</v>
      </c>
      <c r="H79" s="141">
        <v>123</v>
      </c>
      <c r="I79" s="141">
        <v>150.95570000000001</v>
      </c>
      <c r="J79" s="141">
        <v>1010.06947</v>
      </c>
      <c r="K79" s="141">
        <v>5267.7996099999991</v>
      </c>
      <c r="L79" s="141">
        <v>8737.4233700000004</v>
      </c>
      <c r="M79" s="141">
        <v>320</v>
      </c>
      <c r="N79" s="141">
        <v>697</v>
      </c>
      <c r="O79" s="211">
        <f t="shared" si="1"/>
        <v>0.31465093411996065</v>
      </c>
      <c r="P79" s="610">
        <v>5267.7996099999991</v>
      </c>
      <c r="Q79" s="141">
        <f t="shared" si="2"/>
        <v>1657.5180680432641</v>
      </c>
    </row>
    <row r="80" spans="1:17" ht="21">
      <c r="A80" s="136" t="s">
        <v>1674</v>
      </c>
      <c r="B80" s="139" t="s">
        <v>1677</v>
      </c>
      <c r="C80" s="138" t="s">
        <v>1374</v>
      </c>
      <c r="D80" s="138" t="s">
        <v>1678</v>
      </c>
      <c r="E80" s="136" t="s">
        <v>1571</v>
      </c>
      <c r="F80" s="419">
        <v>43100</v>
      </c>
      <c r="G80" s="140">
        <v>53228.495649999997</v>
      </c>
      <c r="H80" s="140">
        <v>175</v>
      </c>
      <c r="I80" s="140">
        <v>4135.4337299999997</v>
      </c>
      <c r="J80" s="140">
        <v>9423.3853700000018</v>
      </c>
      <c r="K80" s="140">
        <v>13452.452650000001</v>
      </c>
      <c r="L80" s="140">
        <v>27772.838130000004</v>
      </c>
      <c r="M80" s="140">
        <v>61</v>
      </c>
      <c r="N80" s="140">
        <v>239</v>
      </c>
      <c r="O80" s="211">
        <f t="shared" si="1"/>
        <v>0.20333333333333334</v>
      </c>
      <c r="P80" s="608">
        <v>13452.452650000001</v>
      </c>
      <c r="Q80" s="141">
        <f t="shared" si="2"/>
        <v>2735.3320388333336</v>
      </c>
    </row>
    <row r="81" spans="1:17" ht="21">
      <c r="A81" s="138" t="s">
        <v>1676</v>
      </c>
      <c r="B81" s="135" t="s">
        <v>1680</v>
      </c>
      <c r="C81" s="136" t="s">
        <v>1356</v>
      </c>
      <c r="D81" s="136" t="s">
        <v>1681</v>
      </c>
      <c r="E81" s="138" t="s">
        <v>1571</v>
      </c>
      <c r="F81" s="420">
        <v>42735</v>
      </c>
      <c r="G81" s="141">
        <v>50571.556170000003</v>
      </c>
      <c r="H81" s="141">
        <v>27</v>
      </c>
      <c r="I81" s="141">
        <v>21.599599999999999</v>
      </c>
      <c r="J81" s="141">
        <v>178.93484000000001</v>
      </c>
      <c r="K81" s="141">
        <v>1284.6086800000003</v>
      </c>
      <c r="L81" s="141">
        <v>1633.139989</v>
      </c>
      <c r="M81" s="141">
        <v>57</v>
      </c>
      <c r="N81" s="141">
        <v>130</v>
      </c>
      <c r="O81" s="211">
        <f t="shared" si="1"/>
        <v>0.30481283422459893</v>
      </c>
      <c r="P81" s="610">
        <v>1284.6086800000003</v>
      </c>
      <c r="Q81" s="141">
        <f t="shared" si="2"/>
        <v>391.56521262032095</v>
      </c>
    </row>
    <row r="82" spans="1:17" ht="31.5">
      <c r="A82" s="136" t="s">
        <v>1679</v>
      </c>
      <c r="B82" s="137" t="s">
        <v>1683</v>
      </c>
      <c r="C82" s="138" t="s">
        <v>1137</v>
      </c>
      <c r="D82" s="138" t="s">
        <v>1135</v>
      </c>
      <c r="E82" s="136" t="s">
        <v>1571</v>
      </c>
      <c r="F82" s="419">
        <v>43100</v>
      </c>
      <c r="G82" s="140">
        <v>49993.237949999995</v>
      </c>
      <c r="H82" s="140">
        <v>78</v>
      </c>
      <c r="I82" s="140">
        <v>358.64748000000003</v>
      </c>
      <c r="J82" s="140">
        <v>1553.8116500000001</v>
      </c>
      <c r="K82" s="140">
        <v>3746.8124899999998</v>
      </c>
      <c r="L82" s="140">
        <v>5918.3827599999995</v>
      </c>
      <c r="M82" s="140">
        <v>27</v>
      </c>
      <c r="N82" s="140">
        <v>69</v>
      </c>
      <c r="O82" s="211">
        <f t="shared" si="1"/>
        <v>0.28125</v>
      </c>
      <c r="P82" s="608">
        <v>3746.8124899999998</v>
      </c>
      <c r="Q82" s="141">
        <f t="shared" si="2"/>
        <v>1053.7910128125</v>
      </c>
    </row>
    <row r="83" spans="1:17" ht="31.5">
      <c r="A83" s="138" t="s">
        <v>1682</v>
      </c>
      <c r="B83" s="135" t="s">
        <v>1685</v>
      </c>
      <c r="C83" s="136" t="s">
        <v>1686</v>
      </c>
      <c r="D83" s="136" t="s">
        <v>1687</v>
      </c>
      <c r="E83" s="138" t="s">
        <v>1571</v>
      </c>
      <c r="F83" s="420">
        <v>42735</v>
      </c>
      <c r="G83" s="141">
        <v>48973.690420000006</v>
      </c>
      <c r="H83" s="141">
        <v>117</v>
      </c>
      <c r="I83" s="141">
        <v>293.88373000000007</v>
      </c>
      <c r="J83" s="141">
        <v>805.69798000000003</v>
      </c>
      <c r="K83" s="141">
        <v>6031.6657599999999</v>
      </c>
      <c r="L83" s="141">
        <v>7876.0460999999996</v>
      </c>
      <c r="M83" s="141">
        <v>7</v>
      </c>
      <c r="N83" s="141">
        <v>22</v>
      </c>
      <c r="O83" s="211">
        <f t="shared" si="1"/>
        <v>0.2413793103448276</v>
      </c>
      <c r="P83" s="610">
        <v>6031.6657599999999</v>
      </c>
      <c r="Q83" s="141">
        <f t="shared" si="2"/>
        <v>1455.9193213793103</v>
      </c>
    </row>
    <row r="84" spans="1:17" ht="42">
      <c r="A84" s="136" t="s">
        <v>1684</v>
      </c>
      <c r="B84" s="139" t="s">
        <v>1689</v>
      </c>
      <c r="C84" s="138" t="s">
        <v>1387</v>
      </c>
      <c r="D84" s="138" t="s">
        <v>1690</v>
      </c>
      <c r="E84" s="136" t="s">
        <v>1571</v>
      </c>
      <c r="F84" s="419">
        <v>43100</v>
      </c>
      <c r="G84" s="140">
        <v>48175.658000000003</v>
      </c>
      <c r="H84" s="140">
        <v>131</v>
      </c>
      <c r="I84" s="140">
        <v>367.13200000000001</v>
      </c>
      <c r="J84" s="140">
        <v>1101.7170000000001</v>
      </c>
      <c r="K84" s="140">
        <v>4495.6859999999997</v>
      </c>
      <c r="L84" s="140">
        <v>6498.87</v>
      </c>
      <c r="M84" s="140">
        <v>18</v>
      </c>
      <c r="N84" s="140">
        <v>75</v>
      </c>
      <c r="O84" s="211">
        <f t="shared" si="1"/>
        <v>0.19354838709677419</v>
      </c>
      <c r="P84" s="608">
        <v>4495.6859999999997</v>
      </c>
      <c r="Q84" s="141">
        <f t="shared" si="2"/>
        <v>870.13277419354836</v>
      </c>
    </row>
    <row r="85" spans="1:17" ht="21">
      <c r="A85" s="138" t="s">
        <v>1688</v>
      </c>
      <c r="B85" s="135" t="s">
        <v>1692</v>
      </c>
      <c r="C85" s="136" t="s">
        <v>1462</v>
      </c>
      <c r="D85" s="136" t="s">
        <v>188</v>
      </c>
      <c r="E85" s="138" t="s">
        <v>1571</v>
      </c>
      <c r="F85" s="420">
        <v>42825</v>
      </c>
      <c r="G85" s="141">
        <v>48074.747390000004</v>
      </c>
      <c r="H85" s="141">
        <v>147</v>
      </c>
      <c r="I85" s="141"/>
      <c r="J85" s="141">
        <v>33.187370000000001</v>
      </c>
      <c r="K85" s="141">
        <v>4885.6806199999992</v>
      </c>
      <c r="L85" s="141">
        <v>5972.840028999999</v>
      </c>
      <c r="M85" s="141">
        <v>107</v>
      </c>
      <c r="N85" s="141">
        <v>50</v>
      </c>
      <c r="O85" s="211">
        <f t="shared" si="1"/>
        <v>0.68152866242038213</v>
      </c>
      <c r="P85" s="610">
        <v>4885.6806199999992</v>
      </c>
      <c r="Q85" s="141">
        <f t="shared" si="2"/>
        <v>3329.7313779617825</v>
      </c>
    </row>
    <row r="86" spans="1:17" ht="21">
      <c r="A86" s="136" t="s">
        <v>1691</v>
      </c>
      <c r="B86" s="137" t="s">
        <v>1694</v>
      </c>
      <c r="C86" s="138" t="s">
        <v>627</v>
      </c>
      <c r="D86" s="138" t="s">
        <v>596</v>
      </c>
      <c r="E86" s="136" t="s">
        <v>1571</v>
      </c>
      <c r="F86" s="419">
        <v>43100</v>
      </c>
      <c r="G86" s="140">
        <v>45878.848079999996</v>
      </c>
      <c r="H86" s="140">
        <v>1017</v>
      </c>
      <c r="I86" s="140">
        <v>239.85356000000002</v>
      </c>
      <c r="J86" s="140">
        <v>820.32491000000005</v>
      </c>
      <c r="K86" s="140">
        <v>31771.774140000001</v>
      </c>
      <c r="L86" s="140">
        <v>33729.454369000006</v>
      </c>
      <c r="M86" s="143" t="s">
        <v>189</v>
      </c>
      <c r="N86" s="143" t="s">
        <v>189</v>
      </c>
      <c r="P86" s="608">
        <v>31771.774140000001</v>
      </c>
      <c r="Q86" s="141">
        <f t="shared" si="2"/>
        <v>0</v>
      </c>
    </row>
    <row r="87" spans="1:17" ht="21">
      <c r="A87" s="138" t="s">
        <v>1693</v>
      </c>
      <c r="B87" s="135" t="s">
        <v>1696</v>
      </c>
      <c r="C87" s="136" t="s">
        <v>970</v>
      </c>
      <c r="D87" s="136" t="s">
        <v>971</v>
      </c>
      <c r="E87" s="138" t="s">
        <v>1571</v>
      </c>
      <c r="F87" s="420">
        <v>43100</v>
      </c>
      <c r="G87" s="141">
        <v>45232</v>
      </c>
      <c r="H87" s="141">
        <v>288</v>
      </c>
      <c r="I87" s="141">
        <v>406</v>
      </c>
      <c r="J87" s="141">
        <v>2746</v>
      </c>
      <c r="K87" s="141">
        <v>13120</v>
      </c>
      <c r="L87" s="141">
        <v>20565</v>
      </c>
      <c r="M87" s="141">
        <v>6</v>
      </c>
      <c r="N87" s="141">
        <v>27</v>
      </c>
      <c r="O87" s="211">
        <f t="shared" si="1"/>
        <v>0.18181818181818182</v>
      </c>
      <c r="P87" s="610">
        <v>13120</v>
      </c>
      <c r="Q87" s="141">
        <f t="shared" si="2"/>
        <v>2385.4545454545455</v>
      </c>
    </row>
    <row r="88" spans="1:17" ht="21">
      <c r="A88" s="136" t="s">
        <v>1695</v>
      </c>
      <c r="B88" s="137" t="s">
        <v>1698</v>
      </c>
      <c r="C88" s="138" t="s">
        <v>1289</v>
      </c>
      <c r="D88" s="138" t="s">
        <v>1266</v>
      </c>
      <c r="E88" s="136" t="s">
        <v>1571</v>
      </c>
      <c r="F88" s="419">
        <v>43100</v>
      </c>
      <c r="G88" s="140">
        <v>42976.584000000003</v>
      </c>
      <c r="H88" s="140">
        <v>189</v>
      </c>
      <c r="I88" s="140">
        <v>1300.6010000000001</v>
      </c>
      <c r="J88" s="140">
        <v>4731.6589999999997</v>
      </c>
      <c r="K88" s="140">
        <v>7772.5079999999998</v>
      </c>
      <c r="L88" s="140">
        <v>15225.445</v>
      </c>
      <c r="M88" s="140">
        <v>5</v>
      </c>
      <c r="N88" s="140">
        <v>16</v>
      </c>
      <c r="O88" s="211">
        <f t="shared" si="1"/>
        <v>0.23809523809523808</v>
      </c>
      <c r="P88" s="608">
        <v>7772.5079999999998</v>
      </c>
      <c r="Q88" s="141">
        <f t="shared" si="2"/>
        <v>1850.5971428571427</v>
      </c>
    </row>
    <row r="89" spans="1:17" ht="42">
      <c r="A89" s="138" t="s">
        <v>1697</v>
      </c>
      <c r="B89" s="135" t="s">
        <v>1700</v>
      </c>
      <c r="C89" s="136" t="s">
        <v>1136</v>
      </c>
      <c r="D89" s="136" t="s">
        <v>1135</v>
      </c>
      <c r="E89" s="138" t="s">
        <v>1571</v>
      </c>
      <c r="F89" s="420">
        <v>43100</v>
      </c>
      <c r="G89" s="141">
        <v>41882.258780000004</v>
      </c>
      <c r="H89" s="141">
        <v>96</v>
      </c>
      <c r="I89" s="141">
        <v>352.79219000000001</v>
      </c>
      <c r="J89" s="141">
        <v>1787.41695</v>
      </c>
      <c r="K89" s="141">
        <v>4355.1580899999999</v>
      </c>
      <c r="L89" s="141">
        <v>7814.5222199999998</v>
      </c>
      <c r="M89" s="142" t="s">
        <v>189</v>
      </c>
      <c r="N89" s="142" t="s">
        <v>189</v>
      </c>
      <c r="P89" s="610">
        <v>4355.1580899999999</v>
      </c>
      <c r="Q89" s="141">
        <f t="shared" si="2"/>
        <v>0</v>
      </c>
    </row>
    <row r="90" spans="1:17" ht="31.5">
      <c r="A90" s="136" t="s">
        <v>1699</v>
      </c>
      <c r="B90" s="137" t="s">
        <v>1702</v>
      </c>
      <c r="C90" s="138" t="s">
        <v>1262</v>
      </c>
      <c r="D90" s="138" t="s">
        <v>1703</v>
      </c>
      <c r="E90" s="136" t="s">
        <v>1571</v>
      </c>
      <c r="F90" s="419">
        <v>42735</v>
      </c>
      <c r="G90" s="140">
        <v>41756.142359999998</v>
      </c>
      <c r="H90" s="140">
        <v>28</v>
      </c>
      <c r="I90" s="140">
        <v>414.69941000000006</v>
      </c>
      <c r="J90" s="140">
        <v>1464.94148</v>
      </c>
      <c r="K90" s="140">
        <v>1309.6182800000001</v>
      </c>
      <c r="L90" s="140">
        <v>3472.7955699999998</v>
      </c>
      <c r="M90" s="140">
        <v>197</v>
      </c>
      <c r="N90" s="140">
        <v>452</v>
      </c>
      <c r="O90" s="211">
        <f t="shared" si="1"/>
        <v>0.30354391371340522</v>
      </c>
      <c r="P90" s="608">
        <v>1309.6182800000001</v>
      </c>
      <c r="Q90" s="141">
        <f t="shared" si="2"/>
        <v>397.52665818181822</v>
      </c>
    </row>
    <row r="91" spans="1:17" ht="52.5">
      <c r="A91" s="138" t="s">
        <v>1701</v>
      </c>
      <c r="B91" s="135" t="s">
        <v>1705</v>
      </c>
      <c r="C91" s="136" t="s">
        <v>1521</v>
      </c>
      <c r="D91" s="136" t="s">
        <v>1501</v>
      </c>
      <c r="E91" s="138" t="s">
        <v>1571</v>
      </c>
      <c r="F91" s="420">
        <v>43008</v>
      </c>
      <c r="G91" s="141">
        <v>38722.800000000003</v>
      </c>
      <c r="H91" s="141">
        <v>91</v>
      </c>
      <c r="I91" s="141">
        <v>295.66899999999998</v>
      </c>
      <c r="J91" s="141">
        <v>927.48800000000006</v>
      </c>
      <c r="K91" s="141">
        <v>4816.384</v>
      </c>
      <c r="L91" s="141">
        <v>6334.683</v>
      </c>
      <c r="M91" s="142" t="s">
        <v>189</v>
      </c>
      <c r="N91" s="142" t="s">
        <v>189</v>
      </c>
      <c r="P91" s="610">
        <v>4816.384</v>
      </c>
      <c r="Q91" s="141">
        <f t="shared" si="2"/>
        <v>0</v>
      </c>
    </row>
    <row r="92" spans="1:17" ht="42">
      <c r="A92" s="136" t="s">
        <v>1704</v>
      </c>
      <c r="B92" s="137" t="s">
        <v>1707</v>
      </c>
      <c r="C92" s="138" t="s">
        <v>1281</v>
      </c>
      <c r="D92" s="138" t="s">
        <v>1266</v>
      </c>
      <c r="E92" s="136" t="s">
        <v>1571</v>
      </c>
      <c r="F92" s="419">
        <v>43100</v>
      </c>
      <c r="G92" s="140">
        <v>38509.1204</v>
      </c>
      <c r="H92" s="140">
        <v>155</v>
      </c>
      <c r="I92" s="140">
        <v>320.44552000000004</v>
      </c>
      <c r="J92" s="140">
        <v>654.63119999999992</v>
      </c>
      <c r="K92" s="140">
        <v>5030.9010199999993</v>
      </c>
      <c r="L92" s="140">
        <v>6330.0648899999997</v>
      </c>
      <c r="M92" s="140">
        <v>17</v>
      </c>
      <c r="N92" s="140">
        <v>133</v>
      </c>
      <c r="O92" s="211">
        <f t="shared" ref="O92:O154" si="3">M92/(M92+N92)</f>
        <v>0.11333333333333333</v>
      </c>
      <c r="P92" s="608">
        <v>5030.9010199999993</v>
      </c>
      <c r="Q92" s="141">
        <f t="shared" si="2"/>
        <v>570.16878226666654</v>
      </c>
    </row>
    <row r="93" spans="1:17">
      <c r="A93" s="138" t="s">
        <v>1706</v>
      </c>
      <c r="B93" s="135" t="s">
        <v>1709</v>
      </c>
      <c r="C93" s="136" t="s">
        <v>763</v>
      </c>
      <c r="D93" s="136" t="s">
        <v>753</v>
      </c>
      <c r="E93" s="138" t="s">
        <v>1571</v>
      </c>
      <c r="F93" s="420">
        <v>43100</v>
      </c>
      <c r="G93" s="141">
        <v>38424.281130000003</v>
      </c>
      <c r="H93" s="141">
        <v>748</v>
      </c>
      <c r="I93" s="141">
        <v>209.54897999999997</v>
      </c>
      <c r="J93" s="141">
        <v>575.04595000000006</v>
      </c>
      <c r="K93" s="141">
        <v>22225.552939999998</v>
      </c>
      <c r="L93" s="141">
        <v>23549.944239999997</v>
      </c>
      <c r="M93" s="141">
        <v>17</v>
      </c>
      <c r="N93" s="141">
        <v>99</v>
      </c>
      <c r="O93" s="211">
        <f t="shared" si="3"/>
        <v>0.14655172413793102</v>
      </c>
      <c r="P93" s="610">
        <v>22225.552939999998</v>
      </c>
      <c r="Q93" s="141">
        <f t="shared" si="2"/>
        <v>3257.1931032758616</v>
      </c>
    </row>
    <row r="94" spans="1:17" ht="52.5">
      <c r="A94" s="136" t="s">
        <v>1708</v>
      </c>
      <c r="B94" s="137" t="s">
        <v>1711</v>
      </c>
      <c r="C94" s="138" t="s">
        <v>881</v>
      </c>
      <c r="D94" s="138" t="s">
        <v>811</v>
      </c>
      <c r="E94" s="136" t="s">
        <v>1571</v>
      </c>
      <c r="F94" s="419">
        <v>43100</v>
      </c>
      <c r="G94" s="140">
        <v>37202.442000000003</v>
      </c>
      <c r="H94" s="140">
        <v>25</v>
      </c>
      <c r="I94" s="140">
        <v>996.82299999999998</v>
      </c>
      <c r="J94" s="140">
        <v>2728.9490000000001</v>
      </c>
      <c r="K94" s="140">
        <v>1563.6990000000001</v>
      </c>
      <c r="L94" s="140">
        <v>5479.4679999999998</v>
      </c>
      <c r="M94" s="140">
        <v>32.119</v>
      </c>
      <c r="N94" s="140">
        <v>185.23999999999998</v>
      </c>
      <c r="O94" s="211">
        <f t="shared" si="3"/>
        <v>0.14776935852667708</v>
      </c>
      <c r="P94" s="608">
        <v>1563.6990000000001</v>
      </c>
      <c r="Q94" s="141">
        <f t="shared" si="2"/>
        <v>231.06679815880642</v>
      </c>
    </row>
    <row r="95" spans="1:17" ht="52.5">
      <c r="A95" s="138" t="s">
        <v>1710</v>
      </c>
      <c r="B95" s="135" t="s">
        <v>1713</v>
      </c>
      <c r="C95" s="136" t="s">
        <v>937</v>
      </c>
      <c r="D95" s="136" t="s">
        <v>811</v>
      </c>
      <c r="E95" s="138" t="s">
        <v>1571</v>
      </c>
      <c r="F95" s="420">
        <v>43100</v>
      </c>
      <c r="G95" s="141">
        <v>35793.473039999997</v>
      </c>
      <c r="H95" s="141">
        <v>21</v>
      </c>
      <c r="I95" s="141">
        <v>497.79747000000003</v>
      </c>
      <c r="J95" s="141">
        <v>1626.33953</v>
      </c>
      <c r="K95" s="141">
        <v>2065.5346</v>
      </c>
      <c r="L95" s="141">
        <v>4576.9504500000003</v>
      </c>
      <c r="M95" s="141">
        <v>17</v>
      </c>
      <c r="N95" s="141">
        <v>38</v>
      </c>
      <c r="O95" s="211">
        <f t="shared" si="3"/>
        <v>0.30909090909090908</v>
      </c>
      <c r="P95" s="610">
        <v>2065.5346</v>
      </c>
      <c r="Q95" s="141">
        <f t="shared" si="2"/>
        <v>638.43796727272729</v>
      </c>
    </row>
    <row r="96" spans="1:17" ht="21">
      <c r="A96" s="136" t="s">
        <v>1712</v>
      </c>
      <c r="B96" s="137" t="s">
        <v>1715</v>
      </c>
      <c r="C96" s="138" t="s">
        <v>1480</v>
      </c>
      <c r="D96" s="138" t="s">
        <v>1474</v>
      </c>
      <c r="E96" s="136" t="s">
        <v>1571</v>
      </c>
      <c r="F96" s="419">
        <v>43100</v>
      </c>
      <c r="G96" s="140">
        <v>34968.2454</v>
      </c>
      <c r="H96" s="140">
        <v>628</v>
      </c>
      <c r="I96" s="140">
        <v>303.58513999999997</v>
      </c>
      <c r="J96" s="140">
        <v>1579.53225</v>
      </c>
      <c r="K96" s="140">
        <v>24543.44875</v>
      </c>
      <c r="L96" s="140">
        <v>26690.141660000001</v>
      </c>
      <c r="M96" s="143" t="s">
        <v>189</v>
      </c>
      <c r="N96" s="143" t="s">
        <v>189</v>
      </c>
      <c r="P96" s="608">
        <v>24543.44875</v>
      </c>
      <c r="Q96" s="141">
        <f t="shared" si="2"/>
        <v>0</v>
      </c>
    </row>
    <row r="97" spans="1:17" ht="31.5">
      <c r="A97" s="138" t="s">
        <v>1714</v>
      </c>
      <c r="B97" s="135" t="s">
        <v>1717</v>
      </c>
      <c r="C97" s="136" t="s">
        <v>902</v>
      </c>
      <c r="D97" s="136" t="s">
        <v>811</v>
      </c>
      <c r="E97" s="138" t="s">
        <v>1571</v>
      </c>
      <c r="F97" s="420">
        <v>43100</v>
      </c>
      <c r="G97" s="141">
        <v>34651.53989</v>
      </c>
      <c r="H97" s="141">
        <v>99</v>
      </c>
      <c r="I97" s="141">
        <v>324.95399000000003</v>
      </c>
      <c r="J97" s="141">
        <v>1074.5980099999999</v>
      </c>
      <c r="K97" s="141">
        <v>4777.6442900000002</v>
      </c>
      <c r="L97" s="141">
        <v>6398.4147999999996</v>
      </c>
      <c r="M97" s="141">
        <v>35</v>
      </c>
      <c r="N97" s="141">
        <v>66</v>
      </c>
      <c r="O97" s="211">
        <f t="shared" si="3"/>
        <v>0.34653465346534651</v>
      </c>
      <c r="P97" s="610">
        <v>4777.6442900000002</v>
      </c>
      <c r="Q97" s="141">
        <f t="shared" si="2"/>
        <v>1655.6193084158415</v>
      </c>
    </row>
    <row r="98" spans="1:17">
      <c r="A98" s="136" t="s">
        <v>1716</v>
      </c>
      <c r="B98" s="137" t="s">
        <v>1719</v>
      </c>
      <c r="C98" s="138" t="s">
        <v>612</v>
      </c>
      <c r="D98" s="138" t="s">
        <v>596</v>
      </c>
      <c r="E98" s="136" t="s">
        <v>1571</v>
      </c>
      <c r="F98" s="419">
        <v>43100</v>
      </c>
      <c r="G98" s="140">
        <v>33775.67901</v>
      </c>
      <c r="H98" s="140">
        <v>129</v>
      </c>
      <c r="I98" s="143" t="s">
        <v>189</v>
      </c>
      <c r="J98" s="140">
        <v>-3139.6295600000003</v>
      </c>
      <c r="K98" s="140">
        <v>6400.9823700000006</v>
      </c>
      <c r="L98" s="140">
        <v>7166.2639700000009</v>
      </c>
      <c r="M98" s="140">
        <v>17</v>
      </c>
      <c r="N98" s="140">
        <v>80</v>
      </c>
      <c r="O98" s="211">
        <f t="shared" si="3"/>
        <v>0.17525773195876287</v>
      </c>
      <c r="P98" s="608">
        <v>6400.9823700000006</v>
      </c>
      <c r="Q98" s="141">
        <f t="shared" ref="Q98:Q161" si="4">O98*P98</f>
        <v>1121.8216524742268</v>
      </c>
    </row>
    <row r="99" spans="1:17" ht="52.5">
      <c r="A99" s="138" t="s">
        <v>1718</v>
      </c>
      <c r="B99" s="135" t="s">
        <v>1721</v>
      </c>
      <c r="C99" s="136" t="s">
        <v>1466</v>
      </c>
      <c r="D99" s="136" t="s">
        <v>1461</v>
      </c>
      <c r="E99" s="138" t="s">
        <v>1571</v>
      </c>
      <c r="F99" s="420">
        <v>42735</v>
      </c>
      <c r="G99" s="141">
        <v>33671.908100000001</v>
      </c>
      <c r="H99" s="141">
        <v>201</v>
      </c>
      <c r="I99" s="141"/>
      <c r="J99" s="141">
        <v>5087.8651599999994</v>
      </c>
      <c r="K99" s="141">
        <v>8209.2671599999994</v>
      </c>
      <c r="L99" s="141">
        <v>16664.581320000001</v>
      </c>
      <c r="M99" s="141">
        <v>14</v>
      </c>
      <c r="N99" s="141">
        <v>72</v>
      </c>
      <c r="O99" s="211">
        <f t="shared" si="3"/>
        <v>0.16279069767441862</v>
      </c>
      <c r="P99" s="610">
        <v>8209.2671599999994</v>
      </c>
      <c r="Q99" s="141">
        <f t="shared" si="4"/>
        <v>1336.3923283720931</v>
      </c>
    </row>
    <row r="100" spans="1:17" ht="31.5">
      <c r="A100" s="136" t="s">
        <v>1720</v>
      </c>
      <c r="B100" s="137" t="s">
        <v>1723</v>
      </c>
      <c r="C100" s="138" t="s">
        <v>1210</v>
      </c>
      <c r="D100" s="138" t="s">
        <v>1572</v>
      </c>
      <c r="E100" s="136" t="s">
        <v>1571</v>
      </c>
      <c r="F100" s="419">
        <v>42825</v>
      </c>
      <c r="G100" s="140">
        <v>33513</v>
      </c>
      <c r="H100" s="140">
        <v>54</v>
      </c>
      <c r="I100" s="140">
        <v>313.416</v>
      </c>
      <c r="J100" s="140">
        <v>713.02</v>
      </c>
      <c r="K100" s="140">
        <v>2998.6910000000003</v>
      </c>
      <c r="L100" s="140">
        <v>4199.2870000000003</v>
      </c>
      <c r="M100" s="140">
        <v>45</v>
      </c>
      <c r="N100" s="140">
        <v>76</v>
      </c>
      <c r="O100" s="211">
        <f t="shared" si="3"/>
        <v>0.37190082644628097</v>
      </c>
      <c r="P100" s="608">
        <v>2998.6910000000003</v>
      </c>
      <c r="Q100" s="141">
        <f t="shared" si="4"/>
        <v>1115.2156611570249</v>
      </c>
    </row>
    <row r="101" spans="1:17" ht="42">
      <c r="A101" s="138" t="s">
        <v>1722</v>
      </c>
      <c r="B101" s="135" t="s">
        <v>1725</v>
      </c>
      <c r="C101" s="136" t="s">
        <v>1442</v>
      </c>
      <c r="D101" s="136" t="s">
        <v>1726</v>
      </c>
      <c r="E101" s="138" t="s">
        <v>1571</v>
      </c>
      <c r="F101" s="420">
        <v>43100</v>
      </c>
      <c r="G101" s="141">
        <v>32797.549339999998</v>
      </c>
      <c r="H101" s="141">
        <v>114</v>
      </c>
      <c r="I101" s="141">
        <v>24.199280000000002</v>
      </c>
      <c r="J101" s="141">
        <v>79.456489999999988</v>
      </c>
      <c r="K101" s="141">
        <v>4286.15524</v>
      </c>
      <c r="L101" s="141">
        <v>4665.8485700000001</v>
      </c>
      <c r="M101" s="141">
        <v>2</v>
      </c>
      <c r="N101" s="141">
        <v>82</v>
      </c>
      <c r="O101" s="211">
        <f t="shared" si="3"/>
        <v>2.3809523809523808E-2</v>
      </c>
      <c r="P101" s="610">
        <v>4286.15524</v>
      </c>
      <c r="Q101" s="141">
        <f t="shared" si="4"/>
        <v>102.05131523809523</v>
      </c>
    </row>
    <row r="102" spans="1:17" ht="42">
      <c r="A102" s="136" t="s">
        <v>1724</v>
      </c>
      <c r="B102" s="137" t="s">
        <v>1728</v>
      </c>
      <c r="C102" s="138" t="s">
        <v>1369</v>
      </c>
      <c r="D102" s="138" t="s">
        <v>1368</v>
      </c>
      <c r="E102" s="136" t="s">
        <v>1571</v>
      </c>
      <c r="F102" s="419">
        <v>43100</v>
      </c>
      <c r="G102" s="140">
        <v>32341.458438999998</v>
      </c>
      <c r="H102" s="140">
        <v>217</v>
      </c>
      <c r="I102" s="140">
        <v>846.75278999999989</v>
      </c>
      <c r="J102" s="140">
        <v>2664.5994499999997</v>
      </c>
      <c r="K102" s="140">
        <v>11691.21039</v>
      </c>
      <c r="L102" s="140">
        <v>15539.088400000001</v>
      </c>
      <c r="M102" s="140">
        <v>21</v>
      </c>
      <c r="N102" s="140">
        <v>48</v>
      </c>
      <c r="O102" s="211">
        <f t="shared" si="3"/>
        <v>0.30434782608695654</v>
      </c>
      <c r="P102" s="608">
        <v>11691.21039</v>
      </c>
      <c r="Q102" s="141">
        <f t="shared" si="4"/>
        <v>3558.1944665217393</v>
      </c>
    </row>
    <row r="103" spans="1:17" ht="42">
      <c r="A103" s="138" t="s">
        <v>1727</v>
      </c>
      <c r="B103" s="135" t="s">
        <v>1730</v>
      </c>
      <c r="C103" s="136" t="s">
        <v>1263</v>
      </c>
      <c r="D103" s="136" t="s">
        <v>1266</v>
      </c>
      <c r="E103" s="138" t="s">
        <v>1571</v>
      </c>
      <c r="F103" s="420">
        <v>42551</v>
      </c>
      <c r="G103" s="141">
        <v>32184.314000000002</v>
      </c>
      <c r="H103" s="141">
        <v>89</v>
      </c>
      <c r="I103" s="141">
        <v>745.66100000000006</v>
      </c>
      <c r="J103" s="141">
        <v>2245.3510000000001</v>
      </c>
      <c r="K103" s="141">
        <v>4127.2970000000005</v>
      </c>
      <c r="L103" s="141">
        <v>7313.4049999999997</v>
      </c>
      <c r="M103" s="141">
        <v>7</v>
      </c>
      <c r="N103" s="141">
        <v>48</v>
      </c>
      <c r="O103" s="211">
        <f t="shared" si="3"/>
        <v>0.12727272727272726</v>
      </c>
      <c r="P103" s="610">
        <v>4127.2970000000005</v>
      </c>
      <c r="Q103" s="141">
        <f t="shared" si="4"/>
        <v>525.29234545454551</v>
      </c>
    </row>
    <row r="104" spans="1:17" ht="31.5">
      <c r="A104" s="136" t="s">
        <v>1729</v>
      </c>
      <c r="B104" s="137" t="s">
        <v>1732</v>
      </c>
      <c r="C104" s="138" t="s">
        <v>1490</v>
      </c>
      <c r="D104" s="138" t="s">
        <v>1474</v>
      </c>
      <c r="E104" s="136" t="s">
        <v>1571</v>
      </c>
      <c r="F104" s="419">
        <v>43100</v>
      </c>
      <c r="G104" s="140">
        <v>31806.79607</v>
      </c>
      <c r="H104" s="140">
        <v>102</v>
      </c>
      <c r="I104" s="140">
        <v>916.52767999999992</v>
      </c>
      <c r="J104" s="140">
        <v>2325.8369200000002</v>
      </c>
      <c r="K104" s="140">
        <v>4181.6368299999995</v>
      </c>
      <c r="L104" s="140">
        <v>7782.4690099999998</v>
      </c>
      <c r="M104" s="140">
        <v>40</v>
      </c>
      <c r="N104" s="140">
        <v>123</v>
      </c>
      <c r="O104" s="211">
        <f t="shared" si="3"/>
        <v>0.24539877300613497</v>
      </c>
      <c r="P104" s="608">
        <v>4181.6368299999995</v>
      </c>
      <c r="Q104" s="141">
        <f t="shared" si="4"/>
        <v>1026.1685472392637</v>
      </c>
    </row>
    <row r="105" spans="1:17" ht="42">
      <c r="A105" s="138" t="s">
        <v>1731</v>
      </c>
      <c r="B105" s="135" t="s">
        <v>1734</v>
      </c>
      <c r="C105" s="136" t="s">
        <v>998</v>
      </c>
      <c r="D105" s="136" t="s">
        <v>975</v>
      </c>
      <c r="E105" s="138" t="s">
        <v>1571</v>
      </c>
      <c r="F105" s="420">
        <v>43100</v>
      </c>
      <c r="G105" s="141">
        <v>31720.337090000001</v>
      </c>
      <c r="H105" s="141">
        <v>89</v>
      </c>
      <c r="I105" s="141">
        <v>338.78780999999998</v>
      </c>
      <c r="J105" s="141">
        <v>71.169670000000011</v>
      </c>
      <c r="K105" s="141">
        <v>3727.1479399999998</v>
      </c>
      <c r="L105" s="141">
        <v>4892.0797289999991</v>
      </c>
      <c r="M105" s="141">
        <v>90</v>
      </c>
      <c r="N105" s="141">
        <v>61</v>
      </c>
      <c r="O105" s="211">
        <f t="shared" si="3"/>
        <v>0.59602649006622521</v>
      </c>
      <c r="P105" s="610">
        <v>3727.1479399999998</v>
      </c>
      <c r="Q105" s="141">
        <f t="shared" si="4"/>
        <v>2221.4789046357619</v>
      </c>
    </row>
    <row r="106" spans="1:17">
      <c r="A106" s="136" t="s">
        <v>1733</v>
      </c>
      <c r="B106" s="137" t="s">
        <v>1736</v>
      </c>
      <c r="C106" s="138" t="s">
        <v>1019</v>
      </c>
      <c r="D106" s="138" t="s">
        <v>1013</v>
      </c>
      <c r="E106" s="136" t="s">
        <v>1571</v>
      </c>
      <c r="F106" s="419">
        <v>43100</v>
      </c>
      <c r="G106" s="140">
        <v>28943</v>
      </c>
      <c r="H106" s="140">
        <v>118</v>
      </c>
      <c r="I106" s="140">
        <v>587</v>
      </c>
      <c r="J106" s="140">
        <v>1074</v>
      </c>
      <c r="K106" s="140">
        <v>5428</v>
      </c>
      <c r="L106" s="140">
        <v>11092</v>
      </c>
      <c r="M106" s="143" t="s">
        <v>189</v>
      </c>
      <c r="N106" s="143" t="s">
        <v>189</v>
      </c>
      <c r="P106" s="608">
        <v>5428</v>
      </c>
      <c r="Q106" s="141">
        <f t="shared" si="4"/>
        <v>0</v>
      </c>
    </row>
    <row r="107" spans="1:17">
      <c r="A107" s="138" t="s">
        <v>1735</v>
      </c>
      <c r="B107" s="135" t="s">
        <v>1738</v>
      </c>
      <c r="C107" s="136" t="s">
        <v>622</v>
      </c>
      <c r="D107" s="136" t="s">
        <v>596</v>
      </c>
      <c r="E107" s="138" t="s">
        <v>1571</v>
      </c>
      <c r="F107" s="420">
        <v>43100</v>
      </c>
      <c r="G107" s="141">
        <v>26770.325000000001</v>
      </c>
      <c r="H107" s="141">
        <v>77</v>
      </c>
      <c r="I107" s="141"/>
      <c r="J107" s="141">
        <v>-1872.4850000000001</v>
      </c>
      <c r="K107" s="141">
        <v>3538.1840000000002</v>
      </c>
      <c r="L107" s="141">
        <v>1633.0230000000001</v>
      </c>
      <c r="M107" s="141">
        <v>26</v>
      </c>
      <c r="N107" s="141">
        <v>87</v>
      </c>
      <c r="O107" s="211">
        <f t="shared" si="3"/>
        <v>0.23008849557522124</v>
      </c>
      <c r="P107" s="610">
        <v>3538.1840000000002</v>
      </c>
      <c r="Q107" s="141">
        <f t="shared" si="4"/>
        <v>814.09543362831857</v>
      </c>
    </row>
    <row r="108" spans="1:17" ht="31.5">
      <c r="A108" s="136" t="s">
        <v>1737</v>
      </c>
      <c r="B108" s="137" t="s">
        <v>1740</v>
      </c>
      <c r="C108" s="138" t="s">
        <v>1495</v>
      </c>
      <c r="D108" s="138" t="s">
        <v>1474</v>
      </c>
      <c r="E108" s="136" t="s">
        <v>1571</v>
      </c>
      <c r="F108" s="419">
        <v>42735</v>
      </c>
      <c r="G108" s="140">
        <v>26762.90553</v>
      </c>
      <c r="H108" s="140">
        <v>62</v>
      </c>
      <c r="I108" s="140">
        <v>611.6214500000001</v>
      </c>
      <c r="J108" s="140">
        <v>1630.0760600000001</v>
      </c>
      <c r="K108" s="140">
        <v>2388.80602</v>
      </c>
      <c r="L108" s="140">
        <v>4850.856628999999</v>
      </c>
      <c r="M108" s="143" t="s">
        <v>189</v>
      </c>
      <c r="N108" s="143" t="s">
        <v>189</v>
      </c>
      <c r="P108" s="608">
        <v>2388.80602</v>
      </c>
      <c r="Q108" s="141">
        <f t="shared" si="4"/>
        <v>0</v>
      </c>
    </row>
    <row r="109" spans="1:17" ht="21">
      <c r="A109" s="138" t="s">
        <v>1739</v>
      </c>
      <c r="B109" s="135" t="s">
        <v>1742</v>
      </c>
      <c r="C109" s="136" t="s">
        <v>658</v>
      </c>
      <c r="D109" s="136" t="s">
        <v>1595</v>
      </c>
      <c r="E109" s="138" t="s">
        <v>1571</v>
      </c>
      <c r="F109" s="420">
        <v>43100</v>
      </c>
      <c r="G109" s="141">
        <v>26249.79464</v>
      </c>
      <c r="H109" s="141">
        <v>55</v>
      </c>
      <c r="I109" s="141">
        <v>682.85593000000006</v>
      </c>
      <c r="J109" s="141">
        <v>2029.4226900000003</v>
      </c>
      <c r="K109" s="141">
        <v>2920.57609</v>
      </c>
      <c r="L109" s="141">
        <v>5807.5105400000002</v>
      </c>
      <c r="M109" s="141">
        <v>2.88</v>
      </c>
      <c r="N109" s="141">
        <v>41.82</v>
      </c>
      <c r="O109" s="211">
        <f t="shared" si="3"/>
        <v>6.4429530201342275E-2</v>
      </c>
      <c r="P109" s="610">
        <v>2920.57609</v>
      </c>
      <c r="Q109" s="141">
        <f t="shared" si="4"/>
        <v>188.17134539597313</v>
      </c>
    </row>
    <row r="110" spans="1:17" ht="42">
      <c r="A110" s="136" t="s">
        <v>1741</v>
      </c>
      <c r="B110" s="137" t="s">
        <v>1744</v>
      </c>
      <c r="C110" s="138" t="s">
        <v>1177</v>
      </c>
      <c r="D110" s="138" t="s">
        <v>1745</v>
      </c>
      <c r="E110" s="136" t="s">
        <v>1571</v>
      </c>
      <c r="F110" s="419">
        <v>43100</v>
      </c>
      <c r="G110" s="140">
        <v>25894</v>
      </c>
      <c r="H110" s="140">
        <v>184</v>
      </c>
      <c r="I110" s="140"/>
      <c r="J110" s="140">
        <v>-5073</v>
      </c>
      <c r="K110" s="140">
        <v>11945</v>
      </c>
      <c r="L110" s="140">
        <v>8330</v>
      </c>
      <c r="M110" s="140">
        <v>30</v>
      </c>
      <c r="N110" s="140">
        <v>52</v>
      </c>
      <c r="O110" s="211">
        <f t="shared" si="3"/>
        <v>0.36585365853658536</v>
      </c>
      <c r="P110" s="608">
        <v>11945</v>
      </c>
      <c r="Q110" s="141">
        <f t="shared" si="4"/>
        <v>4370.1219512195121</v>
      </c>
    </row>
    <row r="111" spans="1:17" ht="31.5">
      <c r="A111" s="138" t="s">
        <v>1743</v>
      </c>
      <c r="B111" s="135" t="s">
        <v>1747</v>
      </c>
      <c r="C111" s="136" t="s">
        <v>1148</v>
      </c>
      <c r="D111" s="136" t="s">
        <v>1156</v>
      </c>
      <c r="E111" s="138" t="s">
        <v>1571</v>
      </c>
      <c r="F111" s="420">
        <v>43100</v>
      </c>
      <c r="G111" s="141">
        <v>23448.761000000002</v>
      </c>
      <c r="H111" s="141">
        <v>110</v>
      </c>
      <c r="I111" s="141">
        <v>241.79</v>
      </c>
      <c r="J111" s="141">
        <v>725.37</v>
      </c>
      <c r="K111" s="141">
        <v>6281.02</v>
      </c>
      <c r="L111" s="141">
        <v>8269.014000000001</v>
      </c>
      <c r="M111" s="141">
        <v>22</v>
      </c>
      <c r="N111" s="141">
        <v>44</v>
      </c>
      <c r="O111" s="211">
        <f t="shared" si="3"/>
        <v>0.33333333333333331</v>
      </c>
      <c r="P111" s="610">
        <v>6281.02</v>
      </c>
      <c r="Q111" s="141">
        <f t="shared" si="4"/>
        <v>2093.6733333333332</v>
      </c>
    </row>
    <row r="112" spans="1:17" ht="42">
      <c r="A112" s="136" t="s">
        <v>1746</v>
      </c>
      <c r="B112" s="137" t="s">
        <v>1749</v>
      </c>
      <c r="C112" s="138" t="s">
        <v>930</v>
      </c>
      <c r="D112" s="138" t="s">
        <v>811</v>
      </c>
      <c r="E112" s="136" t="s">
        <v>1571</v>
      </c>
      <c r="F112" s="419">
        <v>42825</v>
      </c>
      <c r="G112" s="140">
        <v>23069.196</v>
      </c>
      <c r="H112" s="140">
        <v>91</v>
      </c>
      <c r="I112" s="140"/>
      <c r="J112" s="140">
        <v>30.367000000000001</v>
      </c>
      <c r="K112" s="140">
        <v>4534.82</v>
      </c>
      <c r="L112" s="140">
        <v>5251.1019999999999</v>
      </c>
      <c r="M112" s="140">
        <v>130</v>
      </c>
      <c r="N112" s="140">
        <v>316</v>
      </c>
      <c r="O112" s="211">
        <f t="shared" si="3"/>
        <v>0.2914798206278027</v>
      </c>
      <c r="P112" s="608">
        <v>4534.82</v>
      </c>
      <c r="Q112" s="141">
        <f t="shared" si="4"/>
        <v>1321.8085201793722</v>
      </c>
    </row>
    <row r="113" spans="1:17" ht="21">
      <c r="A113" s="138" t="s">
        <v>1748</v>
      </c>
      <c r="B113" s="135" t="s">
        <v>1751</v>
      </c>
      <c r="C113" s="136" t="s">
        <v>905</v>
      </c>
      <c r="D113" s="136" t="s">
        <v>188</v>
      </c>
      <c r="E113" s="138" t="s">
        <v>1571</v>
      </c>
      <c r="F113" s="420">
        <v>43100</v>
      </c>
      <c r="G113" s="141">
        <v>22644.437000000002</v>
      </c>
      <c r="H113" s="141">
        <v>233</v>
      </c>
      <c r="I113" s="142" t="s">
        <v>189</v>
      </c>
      <c r="J113" s="141">
        <v>-48.414999999999999</v>
      </c>
      <c r="K113" s="141">
        <v>14374.68</v>
      </c>
      <c r="L113" s="141">
        <v>14376.409</v>
      </c>
      <c r="M113" s="141">
        <v>40</v>
      </c>
      <c r="N113" s="141">
        <v>74</v>
      </c>
      <c r="O113" s="211">
        <f t="shared" si="3"/>
        <v>0.35087719298245612</v>
      </c>
      <c r="P113" s="610">
        <v>14374.68</v>
      </c>
      <c r="Q113" s="141">
        <f t="shared" si="4"/>
        <v>5043.7473684210527</v>
      </c>
    </row>
    <row r="114" spans="1:17" ht="31.5">
      <c r="A114" s="136" t="s">
        <v>1750</v>
      </c>
      <c r="B114" s="137" t="s">
        <v>1753</v>
      </c>
      <c r="C114" s="138" t="s">
        <v>1090</v>
      </c>
      <c r="D114" s="138" t="s">
        <v>969</v>
      </c>
      <c r="E114" s="136" t="s">
        <v>1571</v>
      </c>
      <c r="F114" s="419">
        <v>42735</v>
      </c>
      <c r="G114" s="140">
        <v>22389.499</v>
      </c>
      <c r="H114" s="140">
        <v>150</v>
      </c>
      <c r="I114" s="140"/>
      <c r="J114" s="140">
        <v>1318.452</v>
      </c>
      <c r="K114" s="140">
        <v>9089.5720000000001</v>
      </c>
      <c r="L114" s="140">
        <v>11308.605</v>
      </c>
      <c r="M114" s="140">
        <v>23</v>
      </c>
      <c r="N114" s="140">
        <v>72</v>
      </c>
      <c r="O114" s="211">
        <f t="shared" si="3"/>
        <v>0.24210526315789474</v>
      </c>
      <c r="P114" s="608">
        <v>9089.5720000000001</v>
      </c>
      <c r="Q114" s="141">
        <f t="shared" si="4"/>
        <v>2200.6332210526316</v>
      </c>
    </row>
    <row r="115" spans="1:17" ht="42">
      <c r="A115" s="138" t="s">
        <v>1752</v>
      </c>
      <c r="B115" s="135" t="s">
        <v>1755</v>
      </c>
      <c r="C115" s="136" t="s">
        <v>745</v>
      </c>
      <c r="D115" s="136" t="s">
        <v>744</v>
      </c>
      <c r="E115" s="138" t="s">
        <v>1571</v>
      </c>
      <c r="F115" s="420">
        <v>43100</v>
      </c>
      <c r="G115" s="141">
        <v>22255.161139000003</v>
      </c>
      <c r="H115" s="141">
        <v>45</v>
      </c>
      <c r="I115" s="141">
        <v>24.155290000000001</v>
      </c>
      <c r="J115" s="141">
        <v>61.216360000000002</v>
      </c>
      <c r="K115" s="141">
        <v>1932.63725</v>
      </c>
      <c r="L115" s="141">
        <v>2196.1332900000002</v>
      </c>
      <c r="M115" s="142" t="s">
        <v>189</v>
      </c>
      <c r="N115" s="142" t="s">
        <v>189</v>
      </c>
      <c r="P115" s="610">
        <v>1932.63725</v>
      </c>
      <c r="Q115" s="141">
        <f t="shared" si="4"/>
        <v>0</v>
      </c>
    </row>
    <row r="116" spans="1:17" ht="42">
      <c r="A116" s="136" t="s">
        <v>1754</v>
      </c>
      <c r="B116" s="137" t="s">
        <v>1757</v>
      </c>
      <c r="C116" s="138" t="s">
        <v>1413</v>
      </c>
      <c r="D116" s="138" t="s">
        <v>1411</v>
      </c>
      <c r="E116" s="136" t="s">
        <v>1571</v>
      </c>
      <c r="F116" s="419">
        <v>42735</v>
      </c>
      <c r="G116" s="140">
        <v>21268.947</v>
      </c>
      <c r="H116" s="140">
        <v>121</v>
      </c>
      <c r="I116" s="140"/>
      <c r="J116" s="140">
        <v>651.82900000000006</v>
      </c>
      <c r="K116" s="140">
        <v>5845.3249999999998</v>
      </c>
      <c r="L116" s="140">
        <v>9396.5810000000001</v>
      </c>
      <c r="M116" s="140">
        <v>12</v>
      </c>
      <c r="N116" s="140">
        <v>7</v>
      </c>
      <c r="O116" s="211">
        <f t="shared" si="3"/>
        <v>0.63157894736842102</v>
      </c>
      <c r="P116" s="608">
        <v>5845.3249999999998</v>
      </c>
      <c r="Q116" s="141">
        <f t="shared" si="4"/>
        <v>3691.7842105263153</v>
      </c>
    </row>
    <row r="117" spans="1:17" ht="31.5">
      <c r="A117" s="138" t="s">
        <v>1756</v>
      </c>
      <c r="B117" s="135" t="s">
        <v>1759</v>
      </c>
      <c r="C117" s="136" t="s">
        <v>1256</v>
      </c>
      <c r="D117" s="136" t="s">
        <v>1760</v>
      </c>
      <c r="E117" s="138" t="s">
        <v>1571</v>
      </c>
      <c r="F117" s="420">
        <v>43100</v>
      </c>
      <c r="G117" s="141">
        <v>21140.86</v>
      </c>
      <c r="H117" s="141">
        <v>82</v>
      </c>
      <c r="I117" s="141">
        <v>641.98699999999997</v>
      </c>
      <c r="J117" s="141">
        <v>2077.4700000000003</v>
      </c>
      <c r="K117" s="141">
        <v>3574.2020000000002</v>
      </c>
      <c r="L117" s="141">
        <v>7170.2520000000004</v>
      </c>
      <c r="M117" s="141">
        <v>6</v>
      </c>
      <c r="N117" s="141">
        <v>20</v>
      </c>
      <c r="O117" s="211">
        <f t="shared" si="3"/>
        <v>0.23076923076923078</v>
      </c>
      <c r="P117" s="610">
        <v>3574.2020000000002</v>
      </c>
      <c r="Q117" s="141">
        <f t="shared" si="4"/>
        <v>824.81584615384622</v>
      </c>
    </row>
    <row r="118" spans="1:17" ht="31.5">
      <c r="A118" s="136" t="s">
        <v>1758</v>
      </c>
      <c r="B118" s="137" t="s">
        <v>1762</v>
      </c>
      <c r="C118" s="138" t="s">
        <v>1381</v>
      </c>
      <c r="D118" s="138" t="s">
        <v>1763</v>
      </c>
      <c r="E118" s="136" t="s">
        <v>1571</v>
      </c>
      <c r="F118" s="419">
        <v>43100</v>
      </c>
      <c r="G118" s="140">
        <v>21055.399969999999</v>
      </c>
      <c r="H118" s="140">
        <v>66</v>
      </c>
      <c r="I118" s="140">
        <v>149.21687999999997</v>
      </c>
      <c r="J118" s="140">
        <v>484.92483999999996</v>
      </c>
      <c r="K118" s="140">
        <v>2463.3028799999997</v>
      </c>
      <c r="L118" s="140">
        <v>4175.8269</v>
      </c>
      <c r="M118" s="140">
        <v>112</v>
      </c>
      <c r="N118" s="140">
        <v>157.18</v>
      </c>
      <c r="O118" s="211">
        <f t="shared" si="3"/>
        <v>0.4160784605096961</v>
      </c>
      <c r="P118" s="608">
        <v>2463.3028799999997</v>
      </c>
      <c r="Q118" s="141">
        <f t="shared" si="4"/>
        <v>1024.9272700795007</v>
      </c>
    </row>
    <row r="119" spans="1:17" ht="52.5">
      <c r="A119" s="138" t="s">
        <v>1761</v>
      </c>
      <c r="B119" s="135" t="s">
        <v>1765</v>
      </c>
      <c r="C119" s="136" t="s">
        <v>737</v>
      </c>
      <c r="D119" s="136" t="s">
        <v>188</v>
      </c>
      <c r="E119" s="138" t="s">
        <v>1571</v>
      </c>
      <c r="F119" s="420">
        <v>43100</v>
      </c>
      <c r="G119" s="141">
        <v>20517.203000000001</v>
      </c>
      <c r="H119" s="141">
        <v>441</v>
      </c>
      <c r="I119" s="141"/>
      <c r="J119" s="141">
        <v>-160.80600000000001</v>
      </c>
      <c r="K119" s="141">
        <v>13112.56</v>
      </c>
      <c r="L119" s="141">
        <v>13466.407999999999</v>
      </c>
      <c r="M119" s="141">
        <v>9</v>
      </c>
      <c r="N119" s="141">
        <v>23</v>
      </c>
      <c r="O119" s="211">
        <f t="shared" si="3"/>
        <v>0.28125</v>
      </c>
      <c r="P119" s="610">
        <v>13112.56</v>
      </c>
      <c r="Q119" s="141">
        <f t="shared" si="4"/>
        <v>3687.9074999999998</v>
      </c>
    </row>
    <row r="120" spans="1:17" ht="21">
      <c r="A120" s="136" t="s">
        <v>1764</v>
      </c>
      <c r="B120" s="137" t="s">
        <v>1767</v>
      </c>
      <c r="C120" s="138" t="s">
        <v>805</v>
      </c>
      <c r="D120" s="138" t="s">
        <v>800</v>
      </c>
      <c r="E120" s="136" t="s">
        <v>1571</v>
      </c>
      <c r="F120" s="419">
        <v>43100</v>
      </c>
      <c r="G120" s="140">
        <v>20395.441999999999</v>
      </c>
      <c r="H120" s="140">
        <v>116</v>
      </c>
      <c r="I120" s="140">
        <v>286.00700000000001</v>
      </c>
      <c r="J120" s="140">
        <v>858.82</v>
      </c>
      <c r="K120" s="140">
        <v>4593.6099999999997</v>
      </c>
      <c r="L120" s="140">
        <v>6130.4480000000003</v>
      </c>
      <c r="M120" s="140">
        <v>34</v>
      </c>
      <c r="N120" s="140">
        <v>129</v>
      </c>
      <c r="O120" s="211">
        <f t="shared" si="3"/>
        <v>0.20858895705521471</v>
      </c>
      <c r="P120" s="608">
        <v>4593.6099999999997</v>
      </c>
      <c r="Q120" s="141">
        <f t="shared" si="4"/>
        <v>958.1763190184048</v>
      </c>
    </row>
    <row r="121" spans="1:17" ht="42">
      <c r="A121" s="138" t="s">
        <v>1766</v>
      </c>
      <c r="B121" s="135" t="s">
        <v>1769</v>
      </c>
      <c r="C121" s="136" t="s">
        <v>888</v>
      </c>
      <c r="D121" s="136" t="s">
        <v>811</v>
      </c>
      <c r="E121" s="138" t="s">
        <v>1571</v>
      </c>
      <c r="F121" s="420">
        <v>43100</v>
      </c>
      <c r="G121" s="141">
        <v>20303.341899999999</v>
      </c>
      <c r="H121" s="141">
        <v>95</v>
      </c>
      <c r="I121" s="142" t="s">
        <v>189</v>
      </c>
      <c r="J121" s="141">
        <v>158.61108999999999</v>
      </c>
      <c r="K121" s="141">
        <v>3854.6749399999999</v>
      </c>
      <c r="L121" s="141">
        <v>4809.0628700000007</v>
      </c>
      <c r="M121" s="141">
        <v>164</v>
      </c>
      <c r="N121" s="141">
        <v>82</v>
      </c>
      <c r="O121" s="211">
        <f t="shared" si="3"/>
        <v>0.66666666666666663</v>
      </c>
      <c r="P121" s="610">
        <v>3854.6749399999999</v>
      </c>
      <c r="Q121" s="141">
        <f t="shared" si="4"/>
        <v>2569.7832933333329</v>
      </c>
    </row>
    <row r="122" spans="1:17" ht="42">
      <c r="A122" s="136" t="s">
        <v>1768</v>
      </c>
      <c r="B122" s="137" t="s">
        <v>1771</v>
      </c>
      <c r="C122" s="138" t="s">
        <v>1258</v>
      </c>
      <c r="D122" s="138" t="s">
        <v>1251</v>
      </c>
      <c r="E122" s="136" t="s">
        <v>1571</v>
      </c>
      <c r="F122" s="419">
        <v>43100</v>
      </c>
      <c r="G122" s="140">
        <v>20155.104600000002</v>
      </c>
      <c r="H122" s="140">
        <v>63</v>
      </c>
      <c r="I122" s="140">
        <v>43.827550000000002</v>
      </c>
      <c r="J122" s="140">
        <v>373.01101</v>
      </c>
      <c r="K122" s="140">
        <v>2487.5569899999996</v>
      </c>
      <c r="L122" s="140">
        <v>3182.6034099999997</v>
      </c>
      <c r="M122" s="143" t="s">
        <v>189</v>
      </c>
      <c r="N122" s="143" t="s">
        <v>189</v>
      </c>
      <c r="P122" s="608">
        <v>2487.5569899999996</v>
      </c>
      <c r="Q122" s="141">
        <f t="shared" si="4"/>
        <v>0</v>
      </c>
    </row>
    <row r="123" spans="1:17" ht="21">
      <c r="A123" s="138" t="s">
        <v>1770</v>
      </c>
      <c r="B123" s="135" t="s">
        <v>1773</v>
      </c>
      <c r="C123" s="136" t="s">
        <v>1544</v>
      </c>
      <c r="D123" s="136" t="s">
        <v>1279</v>
      </c>
      <c r="E123" s="138" t="s">
        <v>1571</v>
      </c>
      <c r="F123" s="420">
        <v>43100</v>
      </c>
      <c r="G123" s="141">
        <v>20011.959959999996</v>
      </c>
      <c r="H123" s="141">
        <v>21</v>
      </c>
      <c r="I123" s="141">
        <v>68.34217000000001</v>
      </c>
      <c r="J123" s="141">
        <v>160.47057000000001</v>
      </c>
      <c r="K123" s="141">
        <v>760.06366999999989</v>
      </c>
      <c r="L123" s="141">
        <v>1662.68507</v>
      </c>
      <c r="M123" s="141">
        <v>9</v>
      </c>
      <c r="N123" s="141">
        <v>55</v>
      </c>
      <c r="O123" s="211">
        <f t="shared" si="3"/>
        <v>0.140625</v>
      </c>
      <c r="P123" s="610">
        <v>760.06366999999989</v>
      </c>
      <c r="Q123" s="141">
        <f t="shared" si="4"/>
        <v>106.88395359374998</v>
      </c>
    </row>
    <row r="124" spans="1:17" ht="42">
      <c r="A124" s="136" t="s">
        <v>1772</v>
      </c>
      <c r="B124" s="137" t="s">
        <v>1775</v>
      </c>
      <c r="C124" s="138" t="s">
        <v>961</v>
      </c>
      <c r="D124" s="138" t="s">
        <v>811</v>
      </c>
      <c r="E124" s="136" t="s">
        <v>1571</v>
      </c>
      <c r="F124" s="419">
        <v>43100</v>
      </c>
      <c r="G124" s="140">
        <v>19529.797570000002</v>
      </c>
      <c r="H124" s="140">
        <v>26</v>
      </c>
      <c r="I124" s="140">
        <v>44.085819999999998</v>
      </c>
      <c r="J124" s="140">
        <v>172.43991</v>
      </c>
      <c r="K124" s="140">
        <v>1527.7069099999999</v>
      </c>
      <c r="L124" s="140">
        <v>1770.5936600000002</v>
      </c>
      <c r="M124" s="140">
        <v>158</v>
      </c>
      <c r="N124" s="140">
        <v>322</v>
      </c>
      <c r="O124" s="211">
        <f t="shared" si="3"/>
        <v>0.32916666666666666</v>
      </c>
      <c r="P124" s="608">
        <v>1527.7069099999999</v>
      </c>
      <c r="Q124" s="141">
        <f t="shared" si="4"/>
        <v>502.87019120833327</v>
      </c>
    </row>
    <row r="125" spans="1:17" ht="63">
      <c r="A125" s="138" t="s">
        <v>1774</v>
      </c>
      <c r="B125" s="135" t="s">
        <v>1777</v>
      </c>
      <c r="C125" s="136" t="s">
        <v>693</v>
      </c>
      <c r="D125" s="136" t="s">
        <v>694</v>
      </c>
      <c r="E125" s="138" t="s">
        <v>1571</v>
      </c>
      <c r="F125" s="420">
        <v>43190</v>
      </c>
      <c r="G125" s="141">
        <v>19466</v>
      </c>
      <c r="H125" s="141">
        <v>283</v>
      </c>
      <c r="I125" s="141"/>
      <c r="J125" s="141">
        <v>-158</v>
      </c>
      <c r="K125" s="141">
        <v>9259</v>
      </c>
      <c r="L125" s="141">
        <v>11081</v>
      </c>
      <c r="M125" s="141">
        <v>8</v>
      </c>
      <c r="N125" s="141">
        <v>83</v>
      </c>
      <c r="O125" s="211">
        <f t="shared" si="3"/>
        <v>8.7912087912087919E-2</v>
      </c>
      <c r="P125" s="610">
        <v>9259</v>
      </c>
      <c r="Q125" s="141">
        <f t="shared" si="4"/>
        <v>813.97802197802207</v>
      </c>
    </row>
    <row r="126" spans="1:17" ht="21">
      <c r="A126" s="136" t="s">
        <v>1776</v>
      </c>
      <c r="B126" s="137" t="s">
        <v>1779</v>
      </c>
      <c r="C126" s="138" t="s">
        <v>809</v>
      </c>
      <c r="D126" s="138" t="s">
        <v>800</v>
      </c>
      <c r="E126" s="136" t="s">
        <v>1571</v>
      </c>
      <c r="F126" s="419">
        <v>43100</v>
      </c>
      <c r="G126" s="140">
        <v>19390.98904</v>
      </c>
      <c r="H126" s="140">
        <v>34</v>
      </c>
      <c r="I126" s="140">
        <v>78.507310000000004</v>
      </c>
      <c r="J126" s="140">
        <v>350.53960999999998</v>
      </c>
      <c r="K126" s="140">
        <v>1788.12527</v>
      </c>
      <c r="L126" s="140">
        <v>2962.27225</v>
      </c>
      <c r="M126" s="140">
        <v>181.44</v>
      </c>
      <c r="N126" s="140">
        <v>56.36</v>
      </c>
      <c r="O126" s="211">
        <f t="shared" si="3"/>
        <v>0.7629941126997476</v>
      </c>
      <c r="P126" s="608">
        <v>1788.12527</v>
      </c>
      <c r="Q126" s="141">
        <f t="shared" si="4"/>
        <v>1364.3290537796465</v>
      </c>
    </row>
    <row r="127" spans="1:17" ht="63">
      <c r="A127" s="138" t="s">
        <v>1778</v>
      </c>
      <c r="B127" s="135" t="s">
        <v>1781</v>
      </c>
      <c r="C127" s="136" t="s">
        <v>1084</v>
      </c>
      <c r="D127" s="136" t="s">
        <v>969</v>
      </c>
      <c r="E127" s="138" t="s">
        <v>1571</v>
      </c>
      <c r="F127" s="420">
        <v>43100</v>
      </c>
      <c r="G127" s="141">
        <v>19287.68202</v>
      </c>
      <c r="H127" s="141">
        <v>160</v>
      </c>
      <c r="I127" s="142" t="s">
        <v>189</v>
      </c>
      <c r="J127" s="141">
        <v>-488.48470000000003</v>
      </c>
      <c r="K127" s="141">
        <v>5607.3722000000007</v>
      </c>
      <c r="L127" s="141">
        <v>5558.9171599999991</v>
      </c>
      <c r="M127" s="142" t="s">
        <v>189</v>
      </c>
      <c r="N127" s="142" t="s">
        <v>189</v>
      </c>
      <c r="P127" s="610">
        <v>5607.3722000000007</v>
      </c>
      <c r="Q127" s="141">
        <f t="shared" si="4"/>
        <v>0</v>
      </c>
    </row>
    <row r="128" spans="1:17" ht="31.5">
      <c r="A128" s="136" t="s">
        <v>1780</v>
      </c>
      <c r="B128" s="137" t="s">
        <v>1783</v>
      </c>
      <c r="C128" s="138" t="s">
        <v>775</v>
      </c>
      <c r="D128" s="138" t="s">
        <v>776</v>
      </c>
      <c r="E128" s="136" t="s">
        <v>1571</v>
      </c>
      <c r="F128" s="419">
        <v>43100</v>
      </c>
      <c r="G128" s="140">
        <v>18746</v>
      </c>
      <c r="H128" s="140">
        <v>253</v>
      </c>
      <c r="I128" s="140">
        <v>301</v>
      </c>
      <c r="J128" s="140">
        <v>1027</v>
      </c>
      <c r="K128" s="140">
        <v>11883</v>
      </c>
      <c r="L128" s="140">
        <v>13659</v>
      </c>
      <c r="M128" s="140">
        <v>6</v>
      </c>
      <c r="N128" s="140">
        <v>5</v>
      </c>
      <c r="O128" s="211">
        <f t="shared" si="3"/>
        <v>0.54545454545454541</v>
      </c>
      <c r="P128" s="608">
        <v>11883</v>
      </c>
      <c r="Q128" s="141">
        <f t="shared" si="4"/>
        <v>6481.6363636363631</v>
      </c>
    </row>
    <row r="129" spans="1:17" ht="21">
      <c r="A129" s="138" t="s">
        <v>1782</v>
      </c>
      <c r="B129" s="135" t="s">
        <v>1785</v>
      </c>
      <c r="C129" s="136" t="s">
        <v>812</v>
      </c>
      <c r="D129" s="136" t="s">
        <v>811</v>
      </c>
      <c r="E129" s="138" t="s">
        <v>1571</v>
      </c>
      <c r="F129" s="420">
        <v>43100</v>
      </c>
      <c r="G129" s="141">
        <v>18361.366699999999</v>
      </c>
      <c r="H129" s="141">
        <v>78</v>
      </c>
      <c r="I129" s="141">
        <v>408.82992000000007</v>
      </c>
      <c r="J129" s="141">
        <v>1074.2616600000001</v>
      </c>
      <c r="K129" s="141">
        <v>5189.2487900000006</v>
      </c>
      <c r="L129" s="141">
        <v>6760.84879</v>
      </c>
      <c r="M129" s="141">
        <v>13</v>
      </c>
      <c r="N129" s="141">
        <v>104</v>
      </c>
      <c r="O129" s="211">
        <f t="shared" si="3"/>
        <v>0.1111111111111111</v>
      </c>
      <c r="P129" s="610">
        <v>5189.2487900000006</v>
      </c>
      <c r="Q129" s="141">
        <f t="shared" si="4"/>
        <v>576.58319888888889</v>
      </c>
    </row>
    <row r="130" spans="1:17" ht="21">
      <c r="A130" s="136" t="s">
        <v>1784</v>
      </c>
      <c r="B130" s="137" t="s">
        <v>1787</v>
      </c>
      <c r="C130" s="138" t="s">
        <v>738</v>
      </c>
      <c r="D130" s="138" t="s">
        <v>1788</v>
      </c>
      <c r="E130" s="136" t="s">
        <v>1571</v>
      </c>
      <c r="F130" s="419">
        <v>43100</v>
      </c>
      <c r="G130" s="140">
        <v>18342.132000000001</v>
      </c>
      <c r="H130" s="140">
        <v>66</v>
      </c>
      <c r="I130" s="143" t="s">
        <v>189</v>
      </c>
      <c r="J130" s="140">
        <v>341.05900000000003</v>
      </c>
      <c r="K130" s="140">
        <v>3141.4679999999998</v>
      </c>
      <c r="L130" s="140">
        <v>3864.8809999999999</v>
      </c>
      <c r="M130" s="140">
        <v>23</v>
      </c>
      <c r="N130" s="140">
        <v>69</v>
      </c>
      <c r="O130" s="211">
        <f t="shared" si="3"/>
        <v>0.25</v>
      </c>
      <c r="P130" s="608">
        <v>3141.4679999999998</v>
      </c>
      <c r="Q130" s="141">
        <f t="shared" si="4"/>
        <v>785.36699999999996</v>
      </c>
    </row>
    <row r="131" spans="1:17" ht="84">
      <c r="A131" s="138" t="s">
        <v>1786</v>
      </c>
      <c r="B131" s="135" t="s">
        <v>1790</v>
      </c>
      <c r="C131" s="136" t="s">
        <v>901</v>
      </c>
      <c r="D131" s="136" t="s">
        <v>811</v>
      </c>
      <c r="E131" s="138" t="s">
        <v>1571</v>
      </c>
      <c r="F131" s="420">
        <v>42735</v>
      </c>
      <c r="G131" s="141">
        <v>17983.224000000002</v>
      </c>
      <c r="H131" s="141">
        <v>184</v>
      </c>
      <c r="I131" s="141">
        <v>65.608000000000004</v>
      </c>
      <c r="J131" s="141">
        <v>603.20699999999999</v>
      </c>
      <c r="K131" s="141">
        <v>9885.3340000000007</v>
      </c>
      <c r="L131" s="141">
        <v>10758.206</v>
      </c>
      <c r="M131" s="141">
        <v>20</v>
      </c>
      <c r="N131" s="141">
        <v>124</v>
      </c>
      <c r="O131" s="211">
        <f t="shared" si="3"/>
        <v>0.1388888888888889</v>
      </c>
      <c r="P131" s="610">
        <v>9885.3340000000007</v>
      </c>
      <c r="Q131" s="141">
        <f t="shared" si="4"/>
        <v>1372.9630555555557</v>
      </c>
    </row>
    <row r="132" spans="1:17" ht="63">
      <c r="A132" s="136" t="s">
        <v>1789</v>
      </c>
      <c r="B132" s="137" t="s">
        <v>1792</v>
      </c>
      <c r="C132" s="138" t="s">
        <v>1336</v>
      </c>
      <c r="D132" s="138" t="s">
        <v>1320</v>
      </c>
      <c r="E132" s="136" t="s">
        <v>1571</v>
      </c>
      <c r="F132" s="419">
        <v>43100</v>
      </c>
      <c r="G132" s="140">
        <v>17865.231</v>
      </c>
      <c r="H132" s="140">
        <v>608</v>
      </c>
      <c r="I132" s="140">
        <v>57.4</v>
      </c>
      <c r="J132" s="140">
        <v>223.96</v>
      </c>
      <c r="K132" s="140">
        <v>16392.674999999999</v>
      </c>
      <c r="L132" s="140">
        <v>16708.726999999999</v>
      </c>
      <c r="M132" s="140">
        <v>2</v>
      </c>
      <c r="N132" s="140">
        <v>38</v>
      </c>
      <c r="O132" s="211">
        <f t="shared" si="3"/>
        <v>0.05</v>
      </c>
      <c r="P132" s="608">
        <v>16392.674999999999</v>
      </c>
      <c r="Q132" s="141">
        <f t="shared" si="4"/>
        <v>819.63374999999996</v>
      </c>
    </row>
    <row r="133" spans="1:17" ht="21">
      <c r="A133" s="138" t="s">
        <v>1791</v>
      </c>
      <c r="B133" s="135" t="s">
        <v>1794</v>
      </c>
      <c r="C133" s="136" t="s">
        <v>984</v>
      </c>
      <c r="D133" s="136" t="s">
        <v>975</v>
      </c>
      <c r="E133" s="138" t="s">
        <v>1571</v>
      </c>
      <c r="F133" s="420">
        <v>43100</v>
      </c>
      <c r="G133" s="141">
        <v>17599.17468</v>
      </c>
      <c r="H133" s="141">
        <v>85</v>
      </c>
      <c r="I133" s="141">
        <v>241.31734999999998</v>
      </c>
      <c r="J133" s="141">
        <v>787.62084000000004</v>
      </c>
      <c r="K133" s="141">
        <v>2549.7839299999996</v>
      </c>
      <c r="L133" s="141">
        <v>3737.1062200000001</v>
      </c>
      <c r="M133" s="141">
        <v>7</v>
      </c>
      <c r="N133" s="141">
        <v>52</v>
      </c>
      <c r="O133" s="211">
        <f t="shared" si="3"/>
        <v>0.11864406779661017</v>
      </c>
      <c r="P133" s="610">
        <v>2549.7839299999996</v>
      </c>
      <c r="Q133" s="141">
        <f t="shared" si="4"/>
        <v>302.51673745762707</v>
      </c>
    </row>
    <row r="134" spans="1:17" ht="42">
      <c r="A134" s="136" t="s">
        <v>1793</v>
      </c>
      <c r="B134" s="137" t="s">
        <v>1796</v>
      </c>
      <c r="C134" s="138" t="s">
        <v>1383</v>
      </c>
      <c r="D134" s="138" t="s">
        <v>1797</v>
      </c>
      <c r="E134" s="136" t="s">
        <v>1571</v>
      </c>
      <c r="F134" s="419">
        <v>43100</v>
      </c>
      <c r="G134" s="140">
        <v>17432.742870000002</v>
      </c>
      <c r="H134" s="140">
        <v>465</v>
      </c>
      <c r="I134" s="140"/>
      <c r="J134" s="140">
        <v>383.40033</v>
      </c>
      <c r="K134" s="140">
        <v>8802.0099200000004</v>
      </c>
      <c r="L134" s="140">
        <v>9674.5947099999994</v>
      </c>
      <c r="M134" s="140">
        <v>331</v>
      </c>
      <c r="N134" s="140">
        <v>480</v>
      </c>
      <c r="O134" s="211">
        <f t="shared" si="3"/>
        <v>0.40813810110974108</v>
      </c>
      <c r="P134" s="608">
        <v>8802.0099200000004</v>
      </c>
      <c r="Q134" s="141">
        <f t="shared" si="4"/>
        <v>3592.4356146979044</v>
      </c>
    </row>
    <row r="135" spans="1:17" ht="31.5">
      <c r="A135" s="138" t="s">
        <v>1795</v>
      </c>
      <c r="B135" s="135" t="s">
        <v>1799</v>
      </c>
      <c r="C135" s="136" t="s">
        <v>1371</v>
      </c>
      <c r="D135" s="136" t="s">
        <v>1800</v>
      </c>
      <c r="E135" s="138" t="s">
        <v>1571</v>
      </c>
      <c r="F135" s="420">
        <v>43008</v>
      </c>
      <c r="G135" s="141">
        <v>17060.221600000001</v>
      </c>
      <c r="H135" s="141">
        <v>11</v>
      </c>
      <c r="I135" s="141">
        <v>17.613910000000001</v>
      </c>
      <c r="J135" s="141">
        <v>45.140750000000004</v>
      </c>
      <c r="K135" s="141">
        <v>835.70941000000005</v>
      </c>
      <c r="L135" s="141">
        <v>961.90665000000001</v>
      </c>
      <c r="M135" s="141">
        <v>94</v>
      </c>
      <c r="N135" s="141">
        <v>39</v>
      </c>
      <c r="O135" s="211">
        <f t="shared" si="3"/>
        <v>0.70676691729323304</v>
      </c>
      <c r="P135" s="610">
        <v>835.70941000000005</v>
      </c>
      <c r="Q135" s="141">
        <f t="shared" si="4"/>
        <v>590.65176345864666</v>
      </c>
    </row>
    <row r="136" spans="1:17" ht="31.5">
      <c r="A136" s="136" t="s">
        <v>1798</v>
      </c>
      <c r="B136" s="137" t="s">
        <v>1802</v>
      </c>
      <c r="C136" s="138" t="s">
        <v>1098</v>
      </c>
      <c r="D136" s="138" t="s">
        <v>969</v>
      </c>
      <c r="E136" s="136" t="s">
        <v>1571</v>
      </c>
      <c r="F136" s="419">
        <v>42735</v>
      </c>
      <c r="G136" s="140">
        <v>16901.822439999996</v>
      </c>
      <c r="H136" s="140">
        <v>117</v>
      </c>
      <c r="I136" s="140">
        <v>100.465</v>
      </c>
      <c r="J136" s="140">
        <v>254.30607000000001</v>
      </c>
      <c r="K136" s="140">
        <v>4514.0722599999999</v>
      </c>
      <c r="L136" s="140">
        <v>5701.3056499999993</v>
      </c>
      <c r="M136" s="143" t="s">
        <v>189</v>
      </c>
      <c r="N136" s="143" t="s">
        <v>189</v>
      </c>
      <c r="P136" s="608">
        <v>4514.0722599999999</v>
      </c>
      <c r="Q136" s="141">
        <f t="shared" si="4"/>
        <v>0</v>
      </c>
    </row>
    <row r="137" spans="1:17" ht="21">
      <c r="A137" s="138" t="s">
        <v>1801</v>
      </c>
      <c r="B137" s="135" t="s">
        <v>1804</v>
      </c>
      <c r="C137" s="136" t="s">
        <v>610</v>
      </c>
      <c r="D137" s="136" t="s">
        <v>596</v>
      </c>
      <c r="E137" s="138" t="s">
        <v>1571</v>
      </c>
      <c r="F137" s="420">
        <v>43100</v>
      </c>
      <c r="G137" s="141">
        <v>16690.40667</v>
      </c>
      <c r="H137" s="141">
        <v>80</v>
      </c>
      <c r="I137" s="141">
        <v>237.68394000000001</v>
      </c>
      <c r="J137" s="141">
        <v>1760.0840600000001</v>
      </c>
      <c r="K137" s="141">
        <v>4287.2499600000001</v>
      </c>
      <c r="L137" s="141">
        <v>6791.8210800000006</v>
      </c>
      <c r="M137" s="141">
        <v>29</v>
      </c>
      <c r="N137" s="141">
        <v>50</v>
      </c>
      <c r="O137" s="211">
        <f t="shared" si="3"/>
        <v>0.36708860759493672</v>
      </c>
      <c r="P137" s="610">
        <v>4287.2499600000001</v>
      </c>
      <c r="Q137" s="141">
        <f t="shared" si="4"/>
        <v>1573.8006182278482</v>
      </c>
    </row>
    <row r="138" spans="1:17" ht="42">
      <c r="A138" s="136" t="s">
        <v>1803</v>
      </c>
      <c r="B138" s="137" t="s">
        <v>1806</v>
      </c>
      <c r="C138" s="138" t="s">
        <v>1174</v>
      </c>
      <c r="D138" s="138" t="s">
        <v>1168</v>
      </c>
      <c r="E138" s="136" t="s">
        <v>1571</v>
      </c>
      <c r="F138" s="419">
        <v>43100</v>
      </c>
      <c r="G138" s="140">
        <v>16623.253199999999</v>
      </c>
      <c r="H138" s="140">
        <v>138</v>
      </c>
      <c r="I138" s="140">
        <v>37.976109999999998</v>
      </c>
      <c r="J138" s="140">
        <v>560.90789000000007</v>
      </c>
      <c r="K138" s="140">
        <v>4310.9120400000002</v>
      </c>
      <c r="L138" s="140">
        <v>6776.8020700000006</v>
      </c>
      <c r="M138" s="140">
        <v>35</v>
      </c>
      <c r="N138" s="140">
        <v>110</v>
      </c>
      <c r="O138" s="211">
        <f t="shared" si="3"/>
        <v>0.2413793103448276</v>
      </c>
      <c r="P138" s="608">
        <v>4310.9120400000002</v>
      </c>
      <c r="Q138" s="141">
        <f t="shared" si="4"/>
        <v>1040.5649751724138</v>
      </c>
    </row>
    <row r="139" spans="1:17" ht="21">
      <c r="A139" s="138" t="s">
        <v>1805</v>
      </c>
      <c r="B139" s="135" t="s">
        <v>1808</v>
      </c>
      <c r="C139" s="136" t="s">
        <v>1297</v>
      </c>
      <c r="D139" s="136" t="s">
        <v>1266</v>
      </c>
      <c r="E139" s="138" t="s">
        <v>1571</v>
      </c>
      <c r="F139" s="420">
        <v>43100</v>
      </c>
      <c r="G139" s="141">
        <v>16508.574769999999</v>
      </c>
      <c r="H139" s="141">
        <v>42</v>
      </c>
      <c r="I139" s="141">
        <v>147.22944000000001</v>
      </c>
      <c r="J139" s="141">
        <v>484.32332000000002</v>
      </c>
      <c r="K139" s="141">
        <v>2042.24557</v>
      </c>
      <c r="L139" s="141">
        <v>3023.3410800000001</v>
      </c>
      <c r="M139" s="141">
        <v>9</v>
      </c>
      <c r="N139" s="141">
        <v>14</v>
      </c>
      <c r="O139" s="211">
        <f t="shared" si="3"/>
        <v>0.39130434782608697</v>
      </c>
      <c r="P139" s="610">
        <v>2042.24557</v>
      </c>
      <c r="Q139" s="141">
        <f t="shared" si="4"/>
        <v>799.13957086956532</v>
      </c>
    </row>
    <row r="140" spans="1:17" ht="31.5">
      <c r="A140" s="136" t="s">
        <v>1807</v>
      </c>
      <c r="B140" s="137" t="s">
        <v>1810</v>
      </c>
      <c r="C140" s="138" t="s">
        <v>606</v>
      </c>
      <c r="D140" s="138" t="s">
        <v>596</v>
      </c>
      <c r="E140" s="136" t="s">
        <v>1571</v>
      </c>
      <c r="F140" s="419">
        <v>43100</v>
      </c>
      <c r="G140" s="140">
        <v>16386.555</v>
      </c>
      <c r="H140" s="140">
        <v>58</v>
      </c>
      <c r="I140" s="140"/>
      <c r="J140" s="140">
        <v>-394.59199999999998</v>
      </c>
      <c r="K140" s="140">
        <v>2588.0639999999999</v>
      </c>
      <c r="L140" s="140">
        <v>2700.306</v>
      </c>
      <c r="M140" s="140">
        <v>8</v>
      </c>
      <c r="N140" s="140">
        <v>88</v>
      </c>
      <c r="O140" s="211">
        <f t="shared" si="3"/>
        <v>8.3333333333333329E-2</v>
      </c>
      <c r="P140" s="608">
        <v>2588.0639999999999</v>
      </c>
      <c r="Q140" s="141">
        <f t="shared" si="4"/>
        <v>215.67199999999997</v>
      </c>
    </row>
    <row r="141" spans="1:17" ht="31.5">
      <c r="A141" s="138" t="s">
        <v>1809</v>
      </c>
      <c r="B141" s="135" t="s">
        <v>1812</v>
      </c>
      <c r="C141" s="136" t="s">
        <v>1129</v>
      </c>
      <c r="D141" s="136" t="s">
        <v>1112</v>
      </c>
      <c r="E141" s="138" t="s">
        <v>1571</v>
      </c>
      <c r="F141" s="420">
        <v>43100</v>
      </c>
      <c r="G141" s="141">
        <v>16284.95933</v>
      </c>
      <c r="H141" s="142" t="s">
        <v>189</v>
      </c>
      <c r="I141" s="142" t="s">
        <v>189</v>
      </c>
      <c r="J141" s="141">
        <v>-355.67878000000002</v>
      </c>
      <c r="K141" s="141">
        <v>12054.50979</v>
      </c>
      <c r="L141" s="141">
        <v>12384.551950000001</v>
      </c>
      <c r="M141" s="141">
        <v>16</v>
      </c>
      <c r="N141" s="141">
        <v>23</v>
      </c>
      <c r="O141" s="211">
        <f t="shared" si="3"/>
        <v>0.41025641025641024</v>
      </c>
      <c r="P141" s="610">
        <v>12054.50979</v>
      </c>
      <c r="Q141" s="141">
        <f t="shared" si="4"/>
        <v>4945.439913846154</v>
      </c>
    </row>
    <row r="142" spans="1:17" ht="21">
      <c r="A142" s="136" t="s">
        <v>1811</v>
      </c>
      <c r="B142" s="137" t="s">
        <v>1814</v>
      </c>
      <c r="C142" s="138" t="s">
        <v>951</v>
      </c>
      <c r="D142" s="138" t="s">
        <v>811</v>
      </c>
      <c r="E142" s="136" t="s">
        <v>1571</v>
      </c>
      <c r="F142" s="419">
        <v>43100</v>
      </c>
      <c r="G142" s="140">
        <v>16198.626310000001</v>
      </c>
      <c r="H142" s="140">
        <v>170</v>
      </c>
      <c r="I142" s="140">
        <v>35.845820000000003</v>
      </c>
      <c r="J142" s="140">
        <v>1.26088</v>
      </c>
      <c r="K142" s="140">
        <v>4307.2722199999998</v>
      </c>
      <c r="L142" s="140">
        <v>4783.4262600000002</v>
      </c>
      <c r="M142" s="140">
        <v>14</v>
      </c>
      <c r="N142" s="140">
        <v>78</v>
      </c>
      <c r="O142" s="211">
        <f t="shared" si="3"/>
        <v>0.15217391304347827</v>
      </c>
      <c r="P142" s="608">
        <v>4307.2722199999998</v>
      </c>
      <c r="Q142" s="141">
        <f t="shared" si="4"/>
        <v>655.45446826086959</v>
      </c>
    </row>
    <row r="143" spans="1:17" ht="42">
      <c r="A143" s="138" t="s">
        <v>1813</v>
      </c>
      <c r="B143" s="135" t="s">
        <v>1816</v>
      </c>
      <c r="C143" s="136" t="s">
        <v>653</v>
      </c>
      <c r="D143" s="136" t="s">
        <v>971</v>
      </c>
      <c r="E143" s="138" t="s">
        <v>1571</v>
      </c>
      <c r="F143" s="420">
        <v>42735</v>
      </c>
      <c r="G143" s="141">
        <v>16038.28104</v>
      </c>
      <c r="H143" s="141">
        <v>456</v>
      </c>
      <c r="I143" s="142" t="s">
        <v>189</v>
      </c>
      <c r="J143" s="141">
        <v>216.54040000000001</v>
      </c>
      <c r="K143" s="141">
        <v>14100.800719999999</v>
      </c>
      <c r="L143" s="141">
        <v>14485.548950000002</v>
      </c>
      <c r="M143" s="141">
        <v>5.3599999999999994</v>
      </c>
      <c r="N143" s="141">
        <v>33.25</v>
      </c>
      <c r="O143" s="211">
        <f t="shared" si="3"/>
        <v>0.1388241388241388</v>
      </c>
      <c r="P143" s="610">
        <v>14100.800719999999</v>
      </c>
      <c r="Q143" s="141">
        <f t="shared" si="4"/>
        <v>1957.5315166847963</v>
      </c>
    </row>
    <row r="144" spans="1:17" ht="31.5">
      <c r="A144" s="136" t="s">
        <v>1815</v>
      </c>
      <c r="B144" s="137" t="s">
        <v>1818</v>
      </c>
      <c r="C144" s="138" t="s">
        <v>757</v>
      </c>
      <c r="D144" s="138" t="s">
        <v>753</v>
      </c>
      <c r="E144" s="136" t="s">
        <v>1571</v>
      </c>
      <c r="F144" s="419">
        <v>43100</v>
      </c>
      <c r="G144" s="140">
        <v>15744.198</v>
      </c>
      <c r="H144" s="140">
        <v>79</v>
      </c>
      <c r="I144" s="140">
        <v>46.640999999999998</v>
      </c>
      <c r="J144" s="140">
        <v>-146.38300000000001</v>
      </c>
      <c r="K144" s="140">
        <v>3418.1930000000002</v>
      </c>
      <c r="L144" s="140">
        <v>3524.049</v>
      </c>
      <c r="M144" s="140">
        <v>27</v>
      </c>
      <c r="N144" s="140">
        <v>28</v>
      </c>
      <c r="O144" s="211">
        <f t="shared" si="3"/>
        <v>0.49090909090909091</v>
      </c>
      <c r="P144" s="608">
        <v>3418.1930000000002</v>
      </c>
      <c r="Q144" s="141">
        <f t="shared" si="4"/>
        <v>1678.0220181818183</v>
      </c>
    </row>
    <row r="145" spans="1:17" ht="31.5">
      <c r="A145" s="138" t="s">
        <v>1817</v>
      </c>
      <c r="B145" s="135" t="s">
        <v>1820</v>
      </c>
      <c r="C145" s="136" t="s">
        <v>1397</v>
      </c>
      <c r="D145" s="136" t="s">
        <v>1393</v>
      </c>
      <c r="E145" s="138" t="s">
        <v>1571</v>
      </c>
      <c r="F145" s="420">
        <v>42369</v>
      </c>
      <c r="G145" s="141">
        <v>15707.619000000001</v>
      </c>
      <c r="H145" s="141">
        <v>145</v>
      </c>
      <c r="I145" s="142" t="s">
        <v>189</v>
      </c>
      <c r="J145" s="141">
        <v>-620.25700000000006</v>
      </c>
      <c r="K145" s="141">
        <v>5637.5079999999998</v>
      </c>
      <c r="L145" s="141">
        <v>6180.7240000000002</v>
      </c>
      <c r="M145" s="141">
        <v>4</v>
      </c>
      <c r="N145" s="141">
        <v>31.5</v>
      </c>
      <c r="O145" s="211">
        <f t="shared" si="3"/>
        <v>0.11267605633802817</v>
      </c>
      <c r="P145" s="610">
        <v>5637.5079999999998</v>
      </c>
      <c r="Q145" s="141">
        <f t="shared" si="4"/>
        <v>635.21216901408445</v>
      </c>
    </row>
    <row r="146" spans="1:17" ht="63">
      <c r="A146" s="136" t="s">
        <v>1819</v>
      </c>
      <c r="B146" s="137" t="s">
        <v>1822</v>
      </c>
      <c r="C146" s="138" t="s">
        <v>1537</v>
      </c>
      <c r="D146" s="138" t="s">
        <v>1279</v>
      </c>
      <c r="E146" s="136" t="s">
        <v>1571</v>
      </c>
      <c r="F146" s="419">
        <v>43100</v>
      </c>
      <c r="G146" s="140">
        <v>15684.434429999999</v>
      </c>
      <c r="H146" s="140">
        <v>17</v>
      </c>
      <c r="I146" s="140">
        <v>22.687799999999999</v>
      </c>
      <c r="J146" s="140">
        <v>100.70567000000001</v>
      </c>
      <c r="K146" s="140">
        <v>788.05051000000003</v>
      </c>
      <c r="L146" s="140">
        <v>971.25263899999993</v>
      </c>
      <c r="M146" s="140">
        <v>12</v>
      </c>
      <c r="N146" s="140">
        <v>111</v>
      </c>
      <c r="O146" s="211">
        <f t="shared" si="3"/>
        <v>9.7560975609756101E-2</v>
      </c>
      <c r="P146" s="608">
        <v>788.05051000000003</v>
      </c>
      <c r="Q146" s="141">
        <f t="shared" si="4"/>
        <v>76.882976585365853</v>
      </c>
    </row>
    <row r="147" spans="1:17" ht="31.5">
      <c r="A147" s="138" t="s">
        <v>1821</v>
      </c>
      <c r="B147" s="421" t="s">
        <v>1824</v>
      </c>
      <c r="C147" s="136" t="s">
        <v>632</v>
      </c>
      <c r="D147" s="136" t="s">
        <v>1825</v>
      </c>
      <c r="E147" s="138" t="s">
        <v>1571</v>
      </c>
      <c r="F147" s="420">
        <v>42277</v>
      </c>
      <c r="G147" s="141">
        <v>15541.934999999999</v>
      </c>
      <c r="H147" s="141">
        <v>53</v>
      </c>
      <c r="I147" s="141">
        <v>58.209000000000003</v>
      </c>
      <c r="J147" s="141">
        <v>220.34399999999999</v>
      </c>
      <c r="K147" s="141">
        <v>1249.442</v>
      </c>
      <c r="L147" s="141">
        <v>1813.566</v>
      </c>
      <c r="M147" s="141">
        <v>6.87</v>
      </c>
      <c r="N147" s="141">
        <v>47.2</v>
      </c>
      <c r="O147" s="211">
        <f t="shared" si="3"/>
        <v>0.12705751803218052</v>
      </c>
      <c r="P147" s="610">
        <v>1249.442</v>
      </c>
      <c r="Q147" s="141">
        <f t="shared" si="4"/>
        <v>158.7509994451637</v>
      </c>
    </row>
    <row r="148" spans="1:17" ht="42">
      <c r="A148" s="136" t="s">
        <v>1823</v>
      </c>
      <c r="B148" s="137" t="s">
        <v>1827</v>
      </c>
      <c r="C148" s="138" t="s">
        <v>1293</v>
      </c>
      <c r="D148" s="138" t="s">
        <v>1266</v>
      </c>
      <c r="E148" s="136" t="s">
        <v>1571</v>
      </c>
      <c r="F148" s="419">
        <v>42369</v>
      </c>
      <c r="G148" s="140">
        <v>15435.227000000001</v>
      </c>
      <c r="H148" s="140">
        <v>95</v>
      </c>
      <c r="I148" s="140">
        <v>9.5779999999999994</v>
      </c>
      <c r="J148" s="140">
        <v>-337.10899999999998</v>
      </c>
      <c r="K148" s="140">
        <v>3043.779</v>
      </c>
      <c r="L148" s="140">
        <v>3968.538</v>
      </c>
      <c r="M148" s="140">
        <v>19</v>
      </c>
      <c r="N148" s="140">
        <v>38</v>
      </c>
      <c r="O148" s="211">
        <f t="shared" si="3"/>
        <v>0.33333333333333331</v>
      </c>
      <c r="P148" s="608">
        <v>3043.779</v>
      </c>
      <c r="Q148" s="141">
        <f t="shared" si="4"/>
        <v>1014.593</v>
      </c>
    </row>
    <row r="149" spans="1:17" ht="21">
      <c r="A149" s="138" t="s">
        <v>1826</v>
      </c>
      <c r="B149" s="135" t="s">
        <v>1829</v>
      </c>
      <c r="C149" s="136" t="s">
        <v>1283</v>
      </c>
      <c r="D149" s="136" t="s">
        <v>1266</v>
      </c>
      <c r="E149" s="138" t="s">
        <v>1571</v>
      </c>
      <c r="F149" s="420">
        <v>43100</v>
      </c>
      <c r="G149" s="141">
        <v>15309.72968</v>
      </c>
      <c r="H149" s="141">
        <v>38</v>
      </c>
      <c r="I149" s="141">
        <v>184.89987999999997</v>
      </c>
      <c r="J149" s="141">
        <v>475.45684</v>
      </c>
      <c r="K149" s="141">
        <v>2260.1069200000002</v>
      </c>
      <c r="L149" s="141">
        <v>2982.5364290000002</v>
      </c>
      <c r="M149" s="142" t="s">
        <v>189</v>
      </c>
      <c r="N149" s="142" t="s">
        <v>189</v>
      </c>
      <c r="P149" s="610">
        <v>2260.1069200000002</v>
      </c>
      <c r="Q149" s="141">
        <f t="shared" si="4"/>
        <v>0</v>
      </c>
    </row>
    <row r="150" spans="1:17">
      <c r="A150" s="136" t="s">
        <v>1828</v>
      </c>
      <c r="B150" s="137" t="s">
        <v>1831</v>
      </c>
      <c r="C150" s="138" t="s">
        <v>1089</v>
      </c>
      <c r="D150" s="138" t="s">
        <v>969</v>
      </c>
      <c r="E150" s="136" t="s">
        <v>1571</v>
      </c>
      <c r="F150" s="419">
        <v>43100</v>
      </c>
      <c r="G150" s="140">
        <v>15202.786870000002</v>
      </c>
      <c r="H150" s="140">
        <v>92</v>
      </c>
      <c r="I150" s="140"/>
      <c r="J150" s="140">
        <v>178.57854</v>
      </c>
      <c r="K150" s="140">
        <v>3007.9227500000002</v>
      </c>
      <c r="L150" s="140">
        <v>3662.1698899999997</v>
      </c>
      <c r="M150" s="140">
        <v>18</v>
      </c>
      <c r="N150" s="140">
        <v>11</v>
      </c>
      <c r="O150" s="211">
        <f t="shared" si="3"/>
        <v>0.62068965517241381</v>
      </c>
      <c r="P150" s="608">
        <v>3007.9227500000002</v>
      </c>
      <c r="Q150" s="141">
        <f t="shared" si="4"/>
        <v>1866.9865344827588</v>
      </c>
    </row>
    <row r="151" spans="1:17">
      <c r="A151" s="138" t="s">
        <v>1830</v>
      </c>
      <c r="B151" s="135" t="s">
        <v>1833</v>
      </c>
      <c r="C151" s="136" t="s">
        <v>847</v>
      </c>
      <c r="D151" s="136" t="s">
        <v>811</v>
      </c>
      <c r="E151" s="138" t="s">
        <v>1571</v>
      </c>
      <c r="F151" s="420">
        <v>43100</v>
      </c>
      <c r="G151" s="141">
        <v>14682.744199999999</v>
      </c>
      <c r="H151" s="141">
        <v>36</v>
      </c>
      <c r="I151" s="141">
        <v>137.50182999999998</v>
      </c>
      <c r="J151" s="141">
        <v>478.24423000000007</v>
      </c>
      <c r="K151" s="141">
        <v>2188.3274099999999</v>
      </c>
      <c r="L151" s="141">
        <v>2868.9940200000001</v>
      </c>
      <c r="M151" s="142" t="s">
        <v>189</v>
      </c>
      <c r="N151" s="142" t="s">
        <v>189</v>
      </c>
      <c r="P151" s="610">
        <v>2188.3274099999999</v>
      </c>
      <c r="Q151" s="141">
        <f t="shared" si="4"/>
        <v>0</v>
      </c>
    </row>
    <row r="152" spans="1:17" ht="21">
      <c r="A152" s="136" t="s">
        <v>1832</v>
      </c>
      <c r="B152" s="137" t="s">
        <v>1835</v>
      </c>
      <c r="C152" s="138" t="s">
        <v>1285</v>
      </c>
      <c r="D152" s="138" t="s">
        <v>1266</v>
      </c>
      <c r="E152" s="136" t="s">
        <v>1571</v>
      </c>
      <c r="F152" s="419">
        <v>43100</v>
      </c>
      <c r="G152" s="140">
        <v>14548.4089</v>
      </c>
      <c r="H152" s="140">
        <v>126</v>
      </c>
      <c r="I152" s="140">
        <v>193.12975</v>
      </c>
      <c r="J152" s="140">
        <v>611.7948100000001</v>
      </c>
      <c r="K152" s="140">
        <v>4552.6270000000004</v>
      </c>
      <c r="L152" s="140">
        <v>5559.5870800000002</v>
      </c>
      <c r="M152" s="143" t="s">
        <v>189</v>
      </c>
      <c r="N152" s="143" t="s">
        <v>189</v>
      </c>
      <c r="P152" s="608">
        <v>4552.6270000000004</v>
      </c>
      <c r="Q152" s="141">
        <f t="shared" si="4"/>
        <v>0</v>
      </c>
    </row>
    <row r="153" spans="1:17">
      <c r="A153" s="138" t="s">
        <v>1834</v>
      </c>
      <c r="B153" s="135" t="s">
        <v>1837</v>
      </c>
      <c r="C153" s="136" t="s">
        <v>1080</v>
      </c>
      <c r="D153" s="136" t="s">
        <v>969</v>
      </c>
      <c r="E153" s="138" t="s">
        <v>1571</v>
      </c>
      <c r="F153" s="420">
        <v>43100</v>
      </c>
      <c r="G153" s="141">
        <v>14398.6659</v>
      </c>
      <c r="H153" s="141">
        <v>54</v>
      </c>
      <c r="I153" s="141">
        <v>319.17521000000005</v>
      </c>
      <c r="J153" s="141">
        <v>1311.6317900000001</v>
      </c>
      <c r="K153" s="141">
        <v>2173.6534899999997</v>
      </c>
      <c r="L153" s="141">
        <v>4215.8369599999996</v>
      </c>
      <c r="M153" s="141">
        <v>34</v>
      </c>
      <c r="N153" s="141">
        <v>35</v>
      </c>
      <c r="O153" s="211">
        <f t="shared" si="3"/>
        <v>0.49275362318840582</v>
      </c>
      <c r="P153" s="610">
        <v>2173.6534899999997</v>
      </c>
      <c r="Q153" s="141">
        <f t="shared" si="4"/>
        <v>1071.075632753623</v>
      </c>
    </row>
    <row r="154" spans="1:17" ht="31.5">
      <c r="A154" s="136" t="s">
        <v>1836</v>
      </c>
      <c r="B154" s="137" t="s">
        <v>1839</v>
      </c>
      <c r="C154" s="138" t="s">
        <v>720</v>
      </c>
      <c r="D154" s="138" t="s">
        <v>1840</v>
      </c>
      <c r="E154" s="136" t="s">
        <v>1571</v>
      </c>
      <c r="F154" s="419">
        <v>43100</v>
      </c>
      <c r="G154" s="140">
        <v>14228.433719999999</v>
      </c>
      <c r="H154" s="140">
        <v>56</v>
      </c>
      <c r="I154" s="140"/>
      <c r="J154" s="140">
        <v>-299.61788000000001</v>
      </c>
      <c r="K154" s="140">
        <v>2222.5360699999997</v>
      </c>
      <c r="L154" s="140">
        <v>1944.057499</v>
      </c>
      <c r="M154" s="140">
        <v>17</v>
      </c>
      <c r="N154" s="140">
        <v>44</v>
      </c>
      <c r="O154" s="211">
        <f t="shared" si="3"/>
        <v>0.27868852459016391</v>
      </c>
      <c r="P154" s="608">
        <v>2222.5360699999997</v>
      </c>
      <c r="Q154" s="141">
        <f t="shared" si="4"/>
        <v>619.39529819672111</v>
      </c>
    </row>
    <row r="155" spans="1:17" ht="31.5">
      <c r="A155" s="138" t="s">
        <v>1838</v>
      </c>
      <c r="B155" s="135" t="s">
        <v>1842</v>
      </c>
      <c r="C155" s="136" t="s">
        <v>890</v>
      </c>
      <c r="D155" s="136" t="s">
        <v>811</v>
      </c>
      <c r="E155" s="138" t="s">
        <v>1571</v>
      </c>
      <c r="F155" s="420">
        <v>43100</v>
      </c>
      <c r="G155" s="141">
        <v>14204.477950000002</v>
      </c>
      <c r="H155" s="141">
        <v>60</v>
      </c>
      <c r="I155" s="142" t="s">
        <v>189</v>
      </c>
      <c r="J155" s="141">
        <v>541.85797000000002</v>
      </c>
      <c r="K155" s="141">
        <v>2557.63852</v>
      </c>
      <c r="L155" s="141">
        <v>3828.3642000000004</v>
      </c>
      <c r="M155" s="142" t="s">
        <v>189</v>
      </c>
      <c r="N155" s="142" t="s">
        <v>189</v>
      </c>
      <c r="P155" s="610">
        <v>2557.63852</v>
      </c>
      <c r="Q155" s="141">
        <f t="shared" si="4"/>
        <v>0</v>
      </c>
    </row>
    <row r="156" spans="1:17">
      <c r="A156" s="136" t="s">
        <v>1841</v>
      </c>
      <c r="B156" s="137" t="s">
        <v>1844</v>
      </c>
      <c r="C156" s="138" t="s">
        <v>704</v>
      </c>
      <c r="D156" s="138" t="s">
        <v>703</v>
      </c>
      <c r="E156" s="136" t="s">
        <v>1571</v>
      </c>
      <c r="F156" s="419">
        <v>43100</v>
      </c>
      <c r="G156" s="140">
        <v>14060.064280000001</v>
      </c>
      <c r="H156" s="140">
        <v>28</v>
      </c>
      <c r="I156" s="140">
        <v>231.35276000000002</v>
      </c>
      <c r="J156" s="140">
        <v>654.54359999999997</v>
      </c>
      <c r="K156" s="140">
        <v>1576.31124</v>
      </c>
      <c r="L156" s="140">
        <v>2565.6747800000003</v>
      </c>
      <c r="M156" s="143" t="s">
        <v>189</v>
      </c>
      <c r="N156" s="143" t="s">
        <v>189</v>
      </c>
      <c r="P156" s="608">
        <v>1576.31124</v>
      </c>
      <c r="Q156" s="141">
        <f t="shared" si="4"/>
        <v>0</v>
      </c>
    </row>
    <row r="157" spans="1:17" ht="42">
      <c r="A157" s="138" t="s">
        <v>1843</v>
      </c>
      <c r="B157" s="421" t="s">
        <v>1846</v>
      </c>
      <c r="C157" s="136" t="s">
        <v>1226</v>
      </c>
      <c r="D157" s="136" t="s">
        <v>1227</v>
      </c>
      <c r="E157" s="138" t="s">
        <v>1571</v>
      </c>
      <c r="F157" s="420">
        <v>38717</v>
      </c>
      <c r="G157" s="141">
        <v>13830.750950000001</v>
      </c>
      <c r="H157" s="141">
        <v>38</v>
      </c>
      <c r="I157" s="141">
        <v>210.00151000000002</v>
      </c>
      <c r="J157" s="141">
        <v>1055.0354600000001</v>
      </c>
      <c r="K157" s="141">
        <v>1250.6713400000001</v>
      </c>
      <c r="L157" s="141">
        <v>3014.9152600000002</v>
      </c>
      <c r="M157" s="141">
        <v>38</v>
      </c>
      <c r="N157" s="141">
        <v>23</v>
      </c>
      <c r="O157" s="211">
        <f t="shared" ref="O157:O217" si="5">M157/(M157+N157)</f>
        <v>0.62295081967213117</v>
      </c>
      <c r="P157" s="610">
        <v>1250.6713400000001</v>
      </c>
      <c r="Q157" s="141">
        <f t="shared" si="4"/>
        <v>779.1067363934427</v>
      </c>
    </row>
    <row r="158" spans="1:17" ht="52.5">
      <c r="A158" s="136" t="s">
        <v>1845</v>
      </c>
      <c r="B158" s="137" t="s">
        <v>1848</v>
      </c>
      <c r="C158" s="138" t="s">
        <v>1432</v>
      </c>
      <c r="D158" s="138" t="s">
        <v>1429</v>
      </c>
      <c r="E158" s="136" t="s">
        <v>1571</v>
      </c>
      <c r="F158" s="419">
        <v>39813</v>
      </c>
      <c r="G158" s="140">
        <v>13154.38003</v>
      </c>
      <c r="H158" s="140">
        <v>33</v>
      </c>
      <c r="I158" s="140">
        <v>874.50900999999999</v>
      </c>
      <c r="J158" s="140">
        <v>2511.7970800000003</v>
      </c>
      <c r="K158" s="140">
        <v>1111.44551</v>
      </c>
      <c r="L158" s="140">
        <v>4958.4844599999997</v>
      </c>
      <c r="M158" s="140">
        <v>97</v>
      </c>
      <c r="N158" s="140">
        <v>83</v>
      </c>
      <c r="O158" s="211">
        <f t="shared" si="5"/>
        <v>0.53888888888888886</v>
      </c>
      <c r="P158" s="608">
        <v>1111.44551</v>
      </c>
      <c r="Q158" s="141">
        <f t="shared" si="4"/>
        <v>598.94563594444446</v>
      </c>
    </row>
    <row r="159" spans="1:17" ht="21">
      <c r="A159" s="138" t="s">
        <v>1847</v>
      </c>
      <c r="B159" s="135" t="s">
        <v>1850</v>
      </c>
      <c r="C159" s="136" t="s">
        <v>604</v>
      </c>
      <c r="D159" s="136" t="s">
        <v>596</v>
      </c>
      <c r="E159" s="138" t="s">
        <v>1571</v>
      </c>
      <c r="F159" s="420">
        <v>43100</v>
      </c>
      <c r="G159" s="141">
        <v>13098</v>
      </c>
      <c r="H159" s="141">
        <v>69</v>
      </c>
      <c r="I159" s="142" t="s">
        <v>189</v>
      </c>
      <c r="J159" s="141">
        <v>-22823</v>
      </c>
      <c r="K159" s="141">
        <v>4127</v>
      </c>
      <c r="L159" s="141">
        <v>925</v>
      </c>
      <c r="M159" s="141">
        <v>9</v>
      </c>
      <c r="N159" s="141">
        <v>12</v>
      </c>
      <c r="O159" s="211">
        <f t="shared" si="5"/>
        <v>0.42857142857142855</v>
      </c>
      <c r="P159" s="610">
        <v>4127</v>
      </c>
      <c r="Q159" s="141">
        <f t="shared" si="4"/>
        <v>1768.7142857142856</v>
      </c>
    </row>
    <row r="160" spans="1:17" ht="31.5">
      <c r="A160" s="136" t="s">
        <v>1849</v>
      </c>
      <c r="B160" s="137" t="s">
        <v>1852</v>
      </c>
      <c r="C160" s="138" t="s">
        <v>1507</v>
      </c>
      <c r="D160" s="138" t="s">
        <v>1501</v>
      </c>
      <c r="E160" s="136" t="s">
        <v>1571</v>
      </c>
      <c r="F160" s="419">
        <v>43100</v>
      </c>
      <c r="G160" s="140">
        <v>12731.264000000001</v>
      </c>
      <c r="H160" s="140">
        <v>52</v>
      </c>
      <c r="I160" s="143" t="s">
        <v>189</v>
      </c>
      <c r="J160" s="140">
        <v>174.017</v>
      </c>
      <c r="K160" s="140">
        <v>2358.779</v>
      </c>
      <c r="L160" s="140">
        <v>3138.3470000000002</v>
      </c>
      <c r="M160" s="140">
        <v>6</v>
      </c>
      <c r="N160" s="140">
        <v>39</v>
      </c>
      <c r="O160" s="211">
        <f t="shared" si="5"/>
        <v>0.13333333333333333</v>
      </c>
      <c r="P160" s="608">
        <v>2358.779</v>
      </c>
      <c r="Q160" s="141">
        <f t="shared" si="4"/>
        <v>314.50386666666668</v>
      </c>
    </row>
    <row r="161" spans="1:17" ht="42">
      <c r="A161" s="138" t="s">
        <v>1851</v>
      </c>
      <c r="B161" s="421" t="s">
        <v>1854</v>
      </c>
      <c r="C161" s="136" t="s">
        <v>1140</v>
      </c>
      <c r="D161" s="136" t="s">
        <v>1135</v>
      </c>
      <c r="E161" s="138" t="s">
        <v>1571</v>
      </c>
      <c r="F161" s="420">
        <v>43100</v>
      </c>
      <c r="G161" s="141">
        <v>12442.87234</v>
      </c>
      <c r="H161" s="141">
        <v>40</v>
      </c>
      <c r="I161" s="141">
        <v>469.19600000000003</v>
      </c>
      <c r="J161" s="141">
        <v>536.06528999999989</v>
      </c>
      <c r="K161" s="141">
        <v>1779.22704</v>
      </c>
      <c r="L161" s="141">
        <v>3078.1347400000004</v>
      </c>
      <c r="M161" s="141">
        <v>21</v>
      </c>
      <c r="N161" s="141">
        <v>41</v>
      </c>
      <c r="O161" s="211">
        <f t="shared" si="5"/>
        <v>0.33870967741935482</v>
      </c>
      <c r="P161" s="610">
        <v>1779.22704</v>
      </c>
      <c r="Q161" s="141">
        <f t="shared" si="4"/>
        <v>602.64141677419354</v>
      </c>
    </row>
    <row r="162" spans="1:17">
      <c r="A162" s="136" t="s">
        <v>1853</v>
      </c>
      <c r="B162" s="137" t="s">
        <v>1856</v>
      </c>
      <c r="C162" s="138" t="s">
        <v>710</v>
      </c>
      <c r="D162" s="138" t="s">
        <v>711</v>
      </c>
      <c r="E162" s="136" t="s">
        <v>1571</v>
      </c>
      <c r="F162" s="419">
        <v>42004</v>
      </c>
      <c r="G162" s="140">
        <v>12438.946</v>
      </c>
      <c r="H162" s="140">
        <v>61</v>
      </c>
      <c r="I162" s="140"/>
      <c r="J162" s="140">
        <v>-174.04</v>
      </c>
      <c r="K162" s="140">
        <v>2070.174</v>
      </c>
      <c r="L162" s="140">
        <v>2510.069</v>
      </c>
      <c r="M162" s="143" t="s">
        <v>189</v>
      </c>
      <c r="N162" s="143" t="s">
        <v>189</v>
      </c>
      <c r="P162" s="608">
        <v>2070.174</v>
      </c>
      <c r="Q162" s="141">
        <f t="shared" ref="Q162:Q225" si="6">O162*P162</f>
        <v>0</v>
      </c>
    </row>
    <row r="163" spans="1:17" ht="63">
      <c r="A163" s="138" t="s">
        <v>1855</v>
      </c>
      <c r="B163" s="135" t="s">
        <v>1858</v>
      </c>
      <c r="C163" s="136" t="s">
        <v>1054</v>
      </c>
      <c r="D163" s="136" t="s">
        <v>971</v>
      </c>
      <c r="E163" s="138" t="s">
        <v>1571</v>
      </c>
      <c r="F163" s="420">
        <v>42735</v>
      </c>
      <c r="G163" s="141">
        <v>12073.392</v>
      </c>
      <c r="H163" s="141">
        <v>66</v>
      </c>
      <c r="I163" s="141">
        <v>50.245000000000005</v>
      </c>
      <c r="J163" s="141">
        <v>93.847999999999999</v>
      </c>
      <c r="K163" s="141">
        <v>1897.91</v>
      </c>
      <c r="L163" s="141">
        <v>2284.6590000000001</v>
      </c>
      <c r="M163" s="141">
        <v>53</v>
      </c>
      <c r="N163" s="141">
        <v>77</v>
      </c>
      <c r="O163" s="211">
        <f t="shared" si="5"/>
        <v>0.40769230769230769</v>
      </c>
      <c r="P163" s="610">
        <v>1897.91</v>
      </c>
      <c r="Q163" s="141">
        <f t="shared" si="6"/>
        <v>773.76330769230776</v>
      </c>
    </row>
    <row r="164" spans="1:17" ht="52.5">
      <c r="A164" s="136" t="s">
        <v>1857</v>
      </c>
      <c r="B164" s="137" t="s">
        <v>1860</v>
      </c>
      <c r="C164" s="138" t="s">
        <v>1313</v>
      </c>
      <c r="D164" s="138" t="s">
        <v>1312</v>
      </c>
      <c r="E164" s="136" t="s">
        <v>1571</v>
      </c>
      <c r="F164" s="419">
        <v>43100</v>
      </c>
      <c r="G164" s="140">
        <v>12060.787480000001</v>
      </c>
      <c r="H164" s="140">
        <v>172</v>
      </c>
      <c r="I164" s="143" t="s">
        <v>189</v>
      </c>
      <c r="J164" s="140">
        <v>212.43281999999999</v>
      </c>
      <c r="K164" s="140">
        <v>8330.3715499999998</v>
      </c>
      <c r="L164" s="140">
        <v>10273.620289999999</v>
      </c>
      <c r="M164" s="140">
        <v>41</v>
      </c>
      <c r="N164" s="140">
        <v>35</v>
      </c>
      <c r="O164" s="211">
        <f t="shared" si="5"/>
        <v>0.53947368421052633</v>
      </c>
      <c r="P164" s="608">
        <v>8330.3715499999998</v>
      </c>
      <c r="Q164" s="141">
        <f t="shared" si="6"/>
        <v>4494.0162309210527</v>
      </c>
    </row>
    <row r="165" spans="1:17" ht="31.5">
      <c r="A165" s="138" t="s">
        <v>1859</v>
      </c>
      <c r="B165" s="135" t="s">
        <v>1862</v>
      </c>
      <c r="C165" s="136" t="s">
        <v>1354</v>
      </c>
      <c r="D165" s="136" t="s">
        <v>1341</v>
      </c>
      <c r="E165" s="138" t="s">
        <v>1571</v>
      </c>
      <c r="F165" s="420">
        <v>43100</v>
      </c>
      <c r="G165" s="141">
        <v>11959.71961</v>
      </c>
      <c r="H165" s="141">
        <v>21</v>
      </c>
      <c r="I165" s="141">
        <v>18.363400000000002</v>
      </c>
      <c r="J165" s="141">
        <v>60.537680000000002</v>
      </c>
      <c r="K165" s="141">
        <v>1297.2260600000002</v>
      </c>
      <c r="L165" s="141">
        <v>1517.01046</v>
      </c>
      <c r="M165" s="141">
        <v>4</v>
      </c>
      <c r="N165" s="141">
        <v>9</v>
      </c>
      <c r="O165" s="211">
        <f t="shared" si="5"/>
        <v>0.30769230769230771</v>
      </c>
      <c r="P165" s="610">
        <v>1297.2260600000002</v>
      </c>
      <c r="Q165" s="141">
        <f t="shared" si="6"/>
        <v>399.14648000000005</v>
      </c>
    </row>
    <row r="166" spans="1:17" ht="31.5">
      <c r="A166" s="136" t="s">
        <v>1861</v>
      </c>
      <c r="B166" s="137" t="s">
        <v>1864</v>
      </c>
      <c r="C166" s="138" t="s">
        <v>702</v>
      </c>
      <c r="D166" s="138" t="s">
        <v>703</v>
      </c>
      <c r="E166" s="136" t="s">
        <v>1571</v>
      </c>
      <c r="F166" s="419">
        <v>43100</v>
      </c>
      <c r="G166" s="140">
        <v>11727.904779999999</v>
      </c>
      <c r="H166" s="140">
        <v>43</v>
      </c>
      <c r="I166" s="140">
        <v>75.685779999999994</v>
      </c>
      <c r="J166" s="140">
        <v>316.36183999999997</v>
      </c>
      <c r="K166" s="140">
        <v>1746.3368600000001</v>
      </c>
      <c r="L166" s="140">
        <v>2371.3523099999998</v>
      </c>
      <c r="M166" s="140">
        <v>9</v>
      </c>
      <c r="N166" s="140">
        <v>40</v>
      </c>
      <c r="O166" s="211">
        <f t="shared" si="5"/>
        <v>0.18367346938775511</v>
      </c>
      <c r="P166" s="608">
        <v>1746.3368600000001</v>
      </c>
      <c r="Q166" s="141">
        <f t="shared" si="6"/>
        <v>320.7557497959184</v>
      </c>
    </row>
    <row r="167" spans="1:17" ht="52.5">
      <c r="A167" s="138" t="s">
        <v>1863</v>
      </c>
      <c r="B167" s="135" t="s">
        <v>1866</v>
      </c>
      <c r="C167" s="136" t="s">
        <v>623</v>
      </c>
      <c r="D167" s="136" t="s">
        <v>596</v>
      </c>
      <c r="E167" s="138" t="s">
        <v>1571</v>
      </c>
      <c r="F167" s="420">
        <v>43100</v>
      </c>
      <c r="G167" s="141">
        <v>11584.115860000002</v>
      </c>
      <c r="H167" s="141">
        <v>50</v>
      </c>
      <c r="I167" s="141">
        <v>251.07853</v>
      </c>
      <c r="J167" s="141">
        <v>1071.0158790000003</v>
      </c>
      <c r="K167" s="141">
        <v>3090.1955000000003</v>
      </c>
      <c r="L167" s="141">
        <v>5034.0014790000005</v>
      </c>
      <c r="M167" s="141">
        <v>23</v>
      </c>
      <c r="N167" s="141">
        <v>47</v>
      </c>
      <c r="O167" s="211">
        <f t="shared" si="5"/>
        <v>0.32857142857142857</v>
      </c>
      <c r="P167" s="610">
        <v>3090.1955000000003</v>
      </c>
      <c r="Q167" s="141">
        <f t="shared" si="6"/>
        <v>1015.34995</v>
      </c>
    </row>
    <row r="168" spans="1:17" ht="31.5">
      <c r="A168" s="136" t="s">
        <v>1865</v>
      </c>
      <c r="B168" s="137" t="s">
        <v>1868</v>
      </c>
      <c r="C168" s="138" t="s">
        <v>931</v>
      </c>
      <c r="D168" s="138" t="s">
        <v>811</v>
      </c>
      <c r="E168" s="136" t="s">
        <v>1571</v>
      </c>
      <c r="F168" s="419">
        <v>43100</v>
      </c>
      <c r="G168" s="140">
        <v>11501.952060000001</v>
      </c>
      <c r="H168" s="140">
        <v>45</v>
      </c>
      <c r="I168" s="140">
        <v>263.73966899999999</v>
      </c>
      <c r="J168" s="140">
        <v>1030.44001</v>
      </c>
      <c r="K168" s="140">
        <v>1830.1628600000001</v>
      </c>
      <c r="L168" s="140">
        <v>3181.879559</v>
      </c>
      <c r="M168" s="140">
        <v>6</v>
      </c>
      <c r="N168" s="140">
        <v>22</v>
      </c>
      <c r="O168" s="211">
        <f t="shared" si="5"/>
        <v>0.21428571428571427</v>
      </c>
      <c r="P168" s="608">
        <v>1830.1628600000001</v>
      </c>
      <c r="Q168" s="141">
        <f t="shared" si="6"/>
        <v>392.17775571428569</v>
      </c>
    </row>
    <row r="169" spans="1:17" ht="31.5">
      <c r="A169" s="138" t="s">
        <v>1867</v>
      </c>
      <c r="B169" s="135" t="s">
        <v>1870</v>
      </c>
      <c r="C169" s="136" t="s">
        <v>869</v>
      </c>
      <c r="D169" s="136" t="s">
        <v>811</v>
      </c>
      <c r="E169" s="138" t="s">
        <v>1571</v>
      </c>
      <c r="F169" s="420">
        <v>43100</v>
      </c>
      <c r="G169" s="141">
        <v>11433.219520000001</v>
      </c>
      <c r="H169" s="141">
        <v>118</v>
      </c>
      <c r="I169" s="141"/>
      <c r="J169" s="141">
        <v>-45.779129999999995</v>
      </c>
      <c r="K169" s="141">
        <v>5031.2569599999997</v>
      </c>
      <c r="L169" s="141">
        <v>5710.4216589999987</v>
      </c>
      <c r="M169" s="142" t="s">
        <v>189</v>
      </c>
      <c r="N169" s="142" t="s">
        <v>189</v>
      </c>
      <c r="P169" s="610">
        <v>5031.2569599999997</v>
      </c>
      <c r="Q169" s="141">
        <f t="shared" si="6"/>
        <v>0</v>
      </c>
    </row>
    <row r="170" spans="1:17" ht="31.5">
      <c r="A170" s="136" t="s">
        <v>1869</v>
      </c>
      <c r="B170" s="137" t="s">
        <v>1872</v>
      </c>
      <c r="C170" s="138" t="s">
        <v>1377</v>
      </c>
      <c r="D170" s="138" t="s">
        <v>1564</v>
      </c>
      <c r="E170" s="136" t="s">
        <v>1571</v>
      </c>
      <c r="F170" s="419">
        <v>43100</v>
      </c>
      <c r="G170" s="140">
        <v>11384.263000000001</v>
      </c>
      <c r="H170" s="140">
        <v>58</v>
      </c>
      <c r="I170" s="140">
        <v>5.2940000000000005</v>
      </c>
      <c r="J170" s="140">
        <v>302.19900000000001</v>
      </c>
      <c r="K170" s="140">
        <v>3871.0740000000001</v>
      </c>
      <c r="L170" s="140">
        <v>4671.5830000000005</v>
      </c>
      <c r="M170" s="140">
        <v>22</v>
      </c>
      <c r="N170" s="140">
        <v>11</v>
      </c>
      <c r="O170" s="211">
        <f t="shared" si="5"/>
        <v>0.66666666666666663</v>
      </c>
      <c r="P170" s="608">
        <v>3871.0740000000001</v>
      </c>
      <c r="Q170" s="141">
        <f t="shared" si="6"/>
        <v>2580.7159999999999</v>
      </c>
    </row>
    <row r="171" spans="1:17" ht="42">
      <c r="A171" s="138" t="s">
        <v>1871</v>
      </c>
      <c r="B171" s="135" t="s">
        <v>1874</v>
      </c>
      <c r="C171" s="136" t="s">
        <v>892</v>
      </c>
      <c r="D171" s="136" t="s">
        <v>811</v>
      </c>
      <c r="E171" s="138" t="s">
        <v>1571</v>
      </c>
      <c r="F171" s="420">
        <v>43100</v>
      </c>
      <c r="G171" s="141">
        <v>11208.840900000001</v>
      </c>
      <c r="H171" s="141">
        <v>13</v>
      </c>
      <c r="I171" s="141">
        <v>32.563800000000001</v>
      </c>
      <c r="J171" s="141">
        <v>71.118250000000003</v>
      </c>
      <c r="K171" s="141">
        <v>711.7333000000001</v>
      </c>
      <c r="L171" s="141">
        <v>929.27626999999995</v>
      </c>
      <c r="M171" s="141">
        <v>7</v>
      </c>
      <c r="N171" s="141">
        <v>19</v>
      </c>
      <c r="O171" s="211">
        <f t="shared" si="5"/>
        <v>0.26923076923076922</v>
      </c>
      <c r="P171" s="610">
        <v>711.7333000000001</v>
      </c>
      <c r="Q171" s="141">
        <f t="shared" si="6"/>
        <v>191.62050384615387</v>
      </c>
    </row>
    <row r="172" spans="1:17" ht="21">
      <c r="A172" s="136" t="s">
        <v>1873</v>
      </c>
      <c r="B172" s="137" t="s">
        <v>1876</v>
      </c>
      <c r="C172" s="138" t="s">
        <v>709</v>
      </c>
      <c r="D172" s="138" t="s">
        <v>705</v>
      </c>
      <c r="E172" s="136" t="s">
        <v>1571</v>
      </c>
      <c r="F172" s="419">
        <v>43100</v>
      </c>
      <c r="G172" s="140">
        <v>11200.982450000001</v>
      </c>
      <c r="H172" s="140">
        <v>49</v>
      </c>
      <c r="I172" s="140">
        <v>96.643339999999995</v>
      </c>
      <c r="J172" s="140">
        <v>300.64714999999995</v>
      </c>
      <c r="K172" s="140">
        <v>2093.9146600000004</v>
      </c>
      <c r="L172" s="140">
        <v>2716.8455899999999</v>
      </c>
      <c r="M172" s="140">
        <v>13</v>
      </c>
      <c r="N172" s="140">
        <v>22</v>
      </c>
      <c r="O172" s="211">
        <f t="shared" si="5"/>
        <v>0.37142857142857144</v>
      </c>
      <c r="P172" s="608">
        <v>2093.9146600000004</v>
      </c>
      <c r="Q172" s="141">
        <f t="shared" si="6"/>
        <v>777.73973085714306</v>
      </c>
    </row>
    <row r="173" spans="1:17" ht="21">
      <c r="A173" s="138" t="s">
        <v>1875</v>
      </c>
      <c r="B173" s="135" t="s">
        <v>1878</v>
      </c>
      <c r="C173" s="136" t="s">
        <v>792</v>
      </c>
      <c r="D173" s="136" t="s">
        <v>789</v>
      </c>
      <c r="E173" s="138" t="s">
        <v>1571</v>
      </c>
      <c r="F173" s="420">
        <v>43100</v>
      </c>
      <c r="G173" s="141">
        <v>11126.409589999999</v>
      </c>
      <c r="H173" s="141">
        <v>65</v>
      </c>
      <c r="I173" s="141">
        <v>139.71869000000001</v>
      </c>
      <c r="J173" s="141">
        <v>239.85980000000001</v>
      </c>
      <c r="K173" s="141">
        <v>2430.7996600000001</v>
      </c>
      <c r="L173" s="141">
        <v>2858.4069499999996</v>
      </c>
      <c r="M173" s="142" t="s">
        <v>189</v>
      </c>
      <c r="N173" s="142" t="s">
        <v>189</v>
      </c>
      <c r="P173" s="610">
        <v>2430.7996600000001</v>
      </c>
      <c r="Q173" s="141">
        <f t="shared" si="6"/>
        <v>0</v>
      </c>
    </row>
    <row r="174" spans="1:17">
      <c r="A174" s="136" t="s">
        <v>1877</v>
      </c>
      <c r="B174" s="137" t="s">
        <v>1880</v>
      </c>
      <c r="C174" s="138" t="s">
        <v>799</v>
      </c>
      <c r="D174" s="138" t="s">
        <v>800</v>
      </c>
      <c r="E174" s="136" t="s">
        <v>1571</v>
      </c>
      <c r="F174" s="419">
        <v>42735</v>
      </c>
      <c r="G174" s="140">
        <v>11118.125</v>
      </c>
      <c r="H174" s="140">
        <v>28</v>
      </c>
      <c r="I174" s="140">
        <v>90.582000000000008</v>
      </c>
      <c r="J174" s="140">
        <v>968.93000000000006</v>
      </c>
      <c r="K174" s="140">
        <v>995.11</v>
      </c>
      <c r="L174" s="140">
        <v>2317.4189999999999</v>
      </c>
      <c r="M174" s="140">
        <v>18</v>
      </c>
      <c r="N174" s="140">
        <v>73</v>
      </c>
      <c r="O174" s="211">
        <f t="shared" si="5"/>
        <v>0.19780219780219779</v>
      </c>
      <c r="P174" s="608">
        <v>995.11</v>
      </c>
      <c r="Q174" s="141">
        <f t="shared" si="6"/>
        <v>196.83494505494505</v>
      </c>
    </row>
    <row r="175" spans="1:17" ht="52.5">
      <c r="A175" s="138" t="s">
        <v>1879</v>
      </c>
      <c r="B175" s="135" t="s">
        <v>1882</v>
      </c>
      <c r="C175" s="136" t="s">
        <v>895</v>
      </c>
      <c r="D175" s="136" t="s">
        <v>811</v>
      </c>
      <c r="E175" s="138" t="s">
        <v>1571</v>
      </c>
      <c r="F175" s="420">
        <v>43100</v>
      </c>
      <c r="G175" s="141">
        <v>10885.43</v>
      </c>
      <c r="H175" s="141">
        <v>76</v>
      </c>
      <c r="I175" s="141">
        <v>22.375</v>
      </c>
      <c r="J175" s="141">
        <v>643.53499999999997</v>
      </c>
      <c r="K175" s="141">
        <v>3063.038</v>
      </c>
      <c r="L175" s="141">
        <v>4092.5419999999999</v>
      </c>
      <c r="M175" s="141">
        <v>10</v>
      </c>
      <c r="N175" s="141">
        <v>49</v>
      </c>
      <c r="O175" s="211">
        <f t="shared" si="5"/>
        <v>0.16949152542372881</v>
      </c>
      <c r="P175" s="610">
        <v>3063.038</v>
      </c>
      <c r="Q175" s="141">
        <f t="shared" si="6"/>
        <v>519.15898305084738</v>
      </c>
    </row>
    <row r="176" spans="1:17" ht="21">
      <c r="A176" s="136" t="s">
        <v>1881</v>
      </c>
      <c r="B176" s="137" t="s">
        <v>1884</v>
      </c>
      <c r="C176" s="138" t="s">
        <v>1264</v>
      </c>
      <c r="D176" s="138" t="s">
        <v>1266</v>
      </c>
      <c r="E176" s="136" t="s">
        <v>1571</v>
      </c>
      <c r="F176" s="419">
        <v>43100</v>
      </c>
      <c r="G176" s="140">
        <v>10604.294</v>
      </c>
      <c r="H176" s="140">
        <v>33</v>
      </c>
      <c r="I176" s="143" t="s">
        <v>189</v>
      </c>
      <c r="J176" s="140">
        <v>-3576.6489999999999</v>
      </c>
      <c r="K176" s="140">
        <v>1323.258</v>
      </c>
      <c r="L176" s="140">
        <v>1686.25</v>
      </c>
      <c r="M176" s="143" t="s">
        <v>189</v>
      </c>
      <c r="N176" s="143" t="s">
        <v>189</v>
      </c>
      <c r="P176" s="608">
        <v>1323.258</v>
      </c>
      <c r="Q176" s="141">
        <f t="shared" si="6"/>
        <v>0</v>
      </c>
    </row>
    <row r="177" spans="1:17">
      <c r="A177" s="138" t="s">
        <v>1883</v>
      </c>
      <c r="B177" s="135" t="s">
        <v>1886</v>
      </c>
      <c r="C177" s="136" t="s">
        <v>733</v>
      </c>
      <c r="D177" s="136" t="s">
        <v>726</v>
      </c>
      <c r="E177" s="138" t="s">
        <v>1571</v>
      </c>
      <c r="F177" s="420">
        <v>43100</v>
      </c>
      <c r="G177" s="141">
        <v>10537.48914</v>
      </c>
      <c r="H177" s="141">
        <v>25</v>
      </c>
      <c r="I177" s="141">
        <v>80.464330000000004</v>
      </c>
      <c r="J177" s="141">
        <v>53.060950000000005</v>
      </c>
      <c r="K177" s="141">
        <v>995.27716999999996</v>
      </c>
      <c r="L177" s="141">
        <v>1441.3590200000001</v>
      </c>
      <c r="M177" s="142" t="s">
        <v>189</v>
      </c>
      <c r="N177" s="142" t="s">
        <v>189</v>
      </c>
      <c r="P177" s="610">
        <v>995.27716999999996</v>
      </c>
      <c r="Q177" s="141">
        <f t="shared" si="6"/>
        <v>0</v>
      </c>
    </row>
    <row r="178" spans="1:17" ht="21">
      <c r="A178" s="136" t="s">
        <v>1885</v>
      </c>
      <c r="B178" s="137" t="s">
        <v>1888</v>
      </c>
      <c r="C178" s="138" t="s">
        <v>1349</v>
      </c>
      <c r="D178" s="138" t="s">
        <v>1266</v>
      </c>
      <c r="E178" s="136" t="s">
        <v>1571</v>
      </c>
      <c r="F178" s="419">
        <v>43100</v>
      </c>
      <c r="G178" s="140">
        <v>10370.808429999999</v>
      </c>
      <c r="H178" s="140">
        <v>35</v>
      </c>
      <c r="I178" s="140">
        <v>4.9246000000000008</v>
      </c>
      <c r="J178" s="140">
        <v>27.79879</v>
      </c>
      <c r="K178" s="140">
        <v>1467.74512</v>
      </c>
      <c r="L178" s="140">
        <v>1611.6017300000001</v>
      </c>
      <c r="M178" s="140">
        <v>19</v>
      </c>
      <c r="N178" s="140">
        <v>36</v>
      </c>
      <c r="O178" s="211">
        <f t="shared" si="5"/>
        <v>0.34545454545454546</v>
      </c>
      <c r="P178" s="608">
        <v>1467.74512</v>
      </c>
      <c r="Q178" s="141">
        <f t="shared" si="6"/>
        <v>507.03922327272727</v>
      </c>
    </row>
    <row r="179" spans="1:17" ht="42">
      <c r="A179" s="138" t="s">
        <v>1887</v>
      </c>
      <c r="B179" s="135" t="s">
        <v>1890</v>
      </c>
      <c r="C179" s="136" t="s">
        <v>1269</v>
      </c>
      <c r="D179" s="136" t="s">
        <v>1797</v>
      </c>
      <c r="E179" s="138" t="s">
        <v>1571</v>
      </c>
      <c r="F179" s="420">
        <v>43100</v>
      </c>
      <c r="G179" s="141">
        <v>10250.15508</v>
      </c>
      <c r="H179" s="141">
        <v>11</v>
      </c>
      <c r="I179" s="142" t="s">
        <v>189</v>
      </c>
      <c r="J179" s="141">
        <v>5.5536800000000008</v>
      </c>
      <c r="K179" s="141">
        <v>376.29426000000001</v>
      </c>
      <c r="L179" s="141">
        <v>394.39254</v>
      </c>
      <c r="M179" s="141">
        <v>5</v>
      </c>
      <c r="N179" s="141">
        <v>26</v>
      </c>
      <c r="O179" s="211">
        <f t="shared" si="5"/>
        <v>0.16129032258064516</v>
      </c>
      <c r="P179" s="610">
        <v>376.29426000000001</v>
      </c>
      <c r="Q179" s="141">
        <f t="shared" si="6"/>
        <v>60.692622580645164</v>
      </c>
    </row>
    <row r="180" spans="1:17" ht="21">
      <c r="A180" s="136" t="s">
        <v>1889</v>
      </c>
      <c r="B180" s="137" t="s">
        <v>1892</v>
      </c>
      <c r="C180" s="138" t="s">
        <v>783</v>
      </c>
      <c r="D180" s="138" t="s">
        <v>782</v>
      </c>
      <c r="E180" s="136" t="s">
        <v>1571</v>
      </c>
      <c r="F180" s="419">
        <v>43100</v>
      </c>
      <c r="G180" s="140">
        <v>10221</v>
      </c>
      <c r="H180" s="140">
        <v>91</v>
      </c>
      <c r="I180" s="140">
        <v>456</v>
      </c>
      <c r="J180" s="140">
        <v>1173</v>
      </c>
      <c r="K180" s="140">
        <v>4482</v>
      </c>
      <c r="L180" s="140">
        <v>6368</v>
      </c>
      <c r="M180" s="140">
        <v>49</v>
      </c>
      <c r="N180" s="140">
        <v>25</v>
      </c>
      <c r="O180" s="211">
        <f t="shared" si="5"/>
        <v>0.66216216216216217</v>
      </c>
      <c r="P180" s="608">
        <v>4482</v>
      </c>
      <c r="Q180" s="141">
        <f t="shared" si="6"/>
        <v>2967.8108108108108</v>
      </c>
    </row>
    <row r="181" spans="1:17" ht="52.5">
      <c r="A181" s="138" t="s">
        <v>1891</v>
      </c>
      <c r="B181" s="135" t="s">
        <v>1894</v>
      </c>
      <c r="C181" s="136" t="s">
        <v>1315</v>
      </c>
      <c r="D181" s="136" t="s">
        <v>1316</v>
      </c>
      <c r="E181" s="138" t="s">
        <v>1571</v>
      </c>
      <c r="F181" s="420">
        <v>42735</v>
      </c>
      <c r="G181" s="141">
        <v>10191.42419</v>
      </c>
      <c r="H181" s="141">
        <v>30</v>
      </c>
      <c r="I181" s="141">
        <v>154.70672000000002</v>
      </c>
      <c r="J181" s="141">
        <v>960.29945000000009</v>
      </c>
      <c r="K181" s="141">
        <v>1412.15174</v>
      </c>
      <c r="L181" s="141">
        <v>2750.4843799999999</v>
      </c>
      <c r="M181" s="141">
        <v>11</v>
      </c>
      <c r="N181" s="141">
        <v>11</v>
      </c>
      <c r="O181" s="211">
        <f t="shared" si="5"/>
        <v>0.5</v>
      </c>
      <c r="P181" s="610">
        <v>1412.15174</v>
      </c>
      <c r="Q181" s="141">
        <f t="shared" si="6"/>
        <v>706.07587000000001</v>
      </c>
    </row>
    <row r="182" spans="1:17">
      <c r="A182" s="136" t="s">
        <v>1893</v>
      </c>
      <c r="B182" s="137" t="s">
        <v>1896</v>
      </c>
      <c r="C182" s="138" t="s">
        <v>1093</v>
      </c>
      <c r="D182" s="138" t="s">
        <v>969</v>
      </c>
      <c r="E182" s="136" t="s">
        <v>1571</v>
      </c>
      <c r="F182" s="419">
        <v>43100</v>
      </c>
      <c r="G182" s="140">
        <v>10092.607370000002</v>
      </c>
      <c r="H182" s="140">
        <v>56</v>
      </c>
      <c r="I182" s="140">
        <v>89.186650000000014</v>
      </c>
      <c r="J182" s="140">
        <v>653.32456000000002</v>
      </c>
      <c r="K182" s="140">
        <v>2858.0108899999996</v>
      </c>
      <c r="L182" s="140">
        <v>5248.2464890000001</v>
      </c>
      <c r="M182" s="140">
        <v>39</v>
      </c>
      <c r="N182" s="140">
        <v>34</v>
      </c>
      <c r="O182" s="211">
        <f t="shared" si="5"/>
        <v>0.53424657534246578</v>
      </c>
      <c r="P182" s="608">
        <v>2858.0108899999996</v>
      </c>
      <c r="Q182" s="141">
        <f t="shared" si="6"/>
        <v>1526.8825302739724</v>
      </c>
    </row>
    <row r="183" spans="1:17">
      <c r="A183" s="138" t="s">
        <v>1895</v>
      </c>
      <c r="B183" s="135" t="s">
        <v>1898</v>
      </c>
      <c r="C183" s="136" t="s">
        <v>842</v>
      </c>
      <c r="D183" s="136" t="s">
        <v>811</v>
      </c>
      <c r="E183" s="138" t="s">
        <v>1571</v>
      </c>
      <c r="F183" s="420">
        <v>42369</v>
      </c>
      <c r="G183" s="141">
        <v>10011.7935</v>
      </c>
      <c r="H183" s="141">
        <v>36</v>
      </c>
      <c r="I183" s="141">
        <v>10.76751</v>
      </c>
      <c r="J183" s="141">
        <v>269.77974</v>
      </c>
      <c r="K183" s="141">
        <v>1220.8196600000001</v>
      </c>
      <c r="L183" s="141">
        <v>1576.1382700000001</v>
      </c>
      <c r="M183" s="141">
        <v>6</v>
      </c>
      <c r="N183" s="141">
        <v>13</v>
      </c>
      <c r="O183" s="211">
        <f t="shared" si="5"/>
        <v>0.31578947368421051</v>
      </c>
      <c r="P183" s="610">
        <v>1220.8196600000001</v>
      </c>
      <c r="Q183" s="141">
        <f t="shared" si="6"/>
        <v>385.52199789473684</v>
      </c>
    </row>
    <row r="184" spans="1:17" ht="42">
      <c r="A184" s="136" t="s">
        <v>1897</v>
      </c>
      <c r="B184" s="137" t="s">
        <v>1900</v>
      </c>
      <c r="C184" s="138" t="s">
        <v>802</v>
      </c>
      <c r="D184" s="138" t="s">
        <v>800</v>
      </c>
      <c r="E184" s="136" t="s">
        <v>1571</v>
      </c>
      <c r="F184" s="419">
        <v>42735</v>
      </c>
      <c r="G184" s="140">
        <v>9992.8163199999999</v>
      </c>
      <c r="H184" s="140">
        <v>171</v>
      </c>
      <c r="I184" s="143" t="s">
        <v>189</v>
      </c>
      <c r="J184" s="140">
        <v>89.70295999999999</v>
      </c>
      <c r="K184" s="140">
        <v>6448.6145800000004</v>
      </c>
      <c r="L184" s="140">
        <v>6972.1353300000001</v>
      </c>
      <c r="M184" s="140">
        <v>5</v>
      </c>
      <c r="N184" s="140">
        <v>24</v>
      </c>
      <c r="O184" s="211">
        <f t="shared" si="5"/>
        <v>0.17241379310344829</v>
      </c>
      <c r="P184" s="608">
        <v>6448.6145800000004</v>
      </c>
      <c r="Q184" s="141">
        <f t="shared" si="6"/>
        <v>1111.8301000000001</v>
      </c>
    </row>
    <row r="185" spans="1:17">
      <c r="A185" s="138" t="s">
        <v>1899</v>
      </c>
      <c r="B185" s="135" t="s">
        <v>1902</v>
      </c>
      <c r="C185" s="136" t="s">
        <v>794</v>
      </c>
      <c r="D185" s="136" t="s">
        <v>795</v>
      </c>
      <c r="E185" s="138" t="s">
        <v>1571</v>
      </c>
      <c r="F185" s="420">
        <v>43100</v>
      </c>
      <c r="G185" s="141">
        <v>9849.0207499999997</v>
      </c>
      <c r="H185" s="141">
        <v>55</v>
      </c>
      <c r="I185" s="141">
        <v>84.630909999999986</v>
      </c>
      <c r="J185" s="141">
        <v>237.44431999999998</v>
      </c>
      <c r="K185" s="141">
        <v>2751.1924600000002</v>
      </c>
      <c r="L185" s="141">
        <v>3418.2206600000004</v>
      </c>
      <c r="M185" s="141">
        <v>26</v>
      </c>
      <c r="N185" s="141">
        <v>65</v>
      </c>
      <c r="O185" s="211">
        <f t="shared" si="5"/>
        <v>0.2857142857142857</v>
      </c>
      <c r="P185" s="610">
        <v>2751.1924600000002</v>
      </c>
      <c r="Q185" s="141">
        <f t="shared" si="6"/>
        <v>786.05498857142857</v>
      </c>
    </row>
    <row r="186" spans="1:17" ht="31.5">
      <c r="A186" s="136" t="s">
        <v>1901</v>
      </c>
      <c r="B186" s="137" t="s">
        <v>1904</v>
      </c>
      <c r="C186" s="138" t="s">
        <v>813</v>
      </c>
      <c r="D186" s="138" t="s">
        <v>188</v>
      </c>
      <c r="E186" s="136" t="s">
        <v>1571</v>
      </c>
      <c r="F186" s="419">
        <v>43100</v>
      </c>
      <c r="G186" s="140">
        <v>9711.469000000001</v>
      </c>
      <c r="H186" s="140">
        <v>30</v>
      </c>
      <c r="I186" s="140">
        <v>173.852</v>
      </c>
      <c r="J186" s="140">
        <v>238.30100000000002</v>
      </c>
      <c r="K186" s="140">
        <v>1313.7940000000001</v>
      </c>
      <c r="L186" s="140">
        <v>1876.8040000000001</v>
      </c>
      <c r="M186" s="143" t="s">
        <v>189</v>
      </c>
      <c r="N186" s="140">
        <v>39</v>
      </c>
      <c r="P186" s="608">
        <v>1313.7940000000001</v>
      </c>
      <c r="Q186" s="141">
        <f t="shared" si="6"/>
        <v>0</v>
      </c>
    </row>
    <row r="187" spans="1:17" ht="42">
      <c r="A187" s="138" t="s">
        <v>1903</v>
      </c>
      <c r="B187" s="135" t="s">
        <v>1906</v>
      </c>
      <c r="C187" s="136" t="s">
        <v>1424</v>
      </c>
      <c r="D187" s="136" t="s">
        <v>811</v>
      </c>
      <c r="E187" s="138" t="s">
        <v>1571</v>
      </c>
      <c r="F187" s="420">
        <v>43100</v>
      </c>
      <c r="G187" s="141">
        <v>9600.4993200000008</v>
      </c>
      <c r="H187" s="141">
        <v>74</v>
      </c>
      <c r="I187" s="142" t="s">
        <v>189</v>
      </c>
      <c r="J187" s="141">
        <v>730.89432000000011</v>
      </c>
      <c r="K187" s="141">
        <v>4874.8919999999998</v>
      </c>
      <c r="L187" s="141">
        <v>5883.8463199999997</v>
      </c>
      <c r="M187" s="141">
        <v>5</v>
      </c>
      <c r="N187" s="141">
        <v>22</v>
      </c>
      <c r="O187" s="211">
        <f t="shared" si="5"/>
        <v>0.18518518518518517</v>
      </c>
      <c r="P187" s="610">
        <v>4874.8919999999998</v>
      </c>
      <c r="Q187" s="141">
        <f t="shared" si="6"/>
        <v>902.75777777777773</v>
      </c>
    </row>
    <row r="188" spans="1:17" ht="21">
      <c r="A188" s="136" t="s">
        <v>1905</v>
      </c>
      <c r="B188" s="137" t="s">
        <v>1908</v>
      </c>
      <c r="C188" s="138" t="s">
        <v>1314</v>
      </c>
      <c r="D188" s="138" t="s">
        <v>1312</v>
      </c>
      <c r="E188" s="136" t="s">
        <v>1571</v>
      </c>
      <c r="F188" s="419">
        <v>42369</v>
      </c>
      <c r="G188" s="140">
        <v>9440.0990000000002</v>
      </c>
      <c r="H188" s="140">
        <v>45</v>
      </c>
      <c r="I188" s="143" t="s">
        <v>189</v>
      </c>
      <c r="J188" s="140">
        <v>-761.22400000000005</v>
      </c>
      <c r="K188" s="140">
        <v>2249.0219999999999</v>
      </c>
      <c r="L188" s="140">
        <v>1804.171</v>
      </c>
      <c r="M188" s="143" t="s">
        <v>189</v>
      </c>
      <c r="N188" s="143" t="s">
        <v>189</v>
      </c>
      <c r="P188" s="608">
        <v>2249.0219999999999</v>
      </c>
      <c r="Q188" s="141">
        <f t="shared" si="6"/>
        <v>0</v>
      </c>
    </row>
    <row r="189" spans="1:17" ht="52.5">
      <c r="A189" s="138" t="s">
        <v>1907</v>
      </c>
      <c r="B189" s="135" t="s">
        <v>1910</v>
      </c>
      <c r="C189" s="136" t="s">
        <v>1337</v>
      </c>
      <c r="D189" s="136" t="s">
        <v>1320</v>
      </c>
      <c r="E189" s="138" t="s">
        <v>1571</v>
      </c>
      <c r="F189" s="420">
        <v>43100</v>
      </c>
      <c r="G189" s="141">
        <v>9410.188729999998</v>
      </c>
      <c r="H189" s="141">
        <v>16</v>
      </c>
      <c r="I189" s="141">
        <v>141.21761000000001</v>
      </c>
      <c r="J189" s="141">
        <v>408.42183999999997</v>
      </c>
      <c r="K189" s="141">
        <v>759.69304</v>
      </c>
      <c r="L189" s="141">
        <v>1344.23029</v>
      </c>
      <c r="M189" s="141">
        <v>7</v>
      </c>
      <c r="N189" s="141">
        <v>51</v>
      </c>
      <c r="O189" s="211">
        <f t="shared" si="5"/>
        <v>0.1206896551724138</v>
      </c>
      <c r="P189" s="610">
        <v>759.69304</v>
      </c>
      <c r="Q189" s="141">
        <f t="shared" si="6"/>
        <v>91.687091034482762</v>
      </c>
    </row>
    <row r="190" spans="1:17" ht="31.5">
      <c r="A190" s="136" t="s">
        <v>1909</v>
      </c>
      <c r="B190" s="137" t="s">
        <v>1912</v>
      </c>
      <c r="C190" s="138" t="s">
        <v>1018</v>
      </c>
      <c r="D190" s="138" t="s">
        <v>1013</v>
      </c>
      <c r="E190" s="136" t="s">
        <v>1571</v>
      </c>
      <c r="F190" s="419">
        <v>42794</v>
      </c>
      <c r="G190" s="140">
        <v>9298.0072899999996</v>
      </c>
      <c r="H190" s="140">
        <v>28</v>
      </c>
      <c r="I190" s="140">
        <v>43.985610000000001</v>
      </c>
      <c r="J190" s="140">
        <v>91.066070000000011</v>
      </c>
      <c r="K190" s="140">
        <v>858.61552000000006</v>
      </c>
      <c r="L190" s="140">
        <v>1189.93749</v>
      </c>
      <c r="M190" s="143" t="s">
        <v>189</v>
      </c>
      <c r="N190" s="143" t="s">
        <v>189</v>
      </c>
      <c r="P190" s="608">
        <v>858.61552000000006</v>
      </c>
      <c r="Q190" s="141">
        <f t="shared" si="6"/>
        <v>0</v>
      </c>
    </row>
    <row r="191" spans="1:17" ht="31.5">
      <c r="A191" s="138" t="s">
        <v>1911</v>
      </c>
      <c r="B191" s="135" t="s">
        <v>1914</v>
      </c>
      <c r="C191" s="136" t="s">
        <v>1228</v>
      </c>
      <c r="D191" s="136" t="s">
        <v>1229</v>
      </c>
      <c r="E191" s="138" t="s">
        <v>1571</v>
      </c>
      <c r="F191" s="420">
        <v>42735</v>
      </c>
      <c r="G191" s="141">
        <v>8850.6735800000006</v>
      </c>
      <c r="H191" s="141">
        <v>88</v>
      </c>
      <c r="I191" s="141">
        <v>31.043560000000003</v>
      </c>
      <c r="J191" s="141">
        <v>201.85063</v>
      </c>
      <c r="K191" s="141">
        <v>2518.4686099999999</v>
      </c>
      <c r="L191" s="141">
        <v>2841.7742390000003</v>
      </c>
      <c r="M191" s="142" t="s">
        <v>189</v>
      </c>
      <c r="N191" s="142" t="s">
        <v>189</v>
      </c>
      <c r="P191" s="610">
        <v>2518.4686099999999</v>
      </c>
      <c r="Q191" s="141">
        <f t="shared" si="6"/>
        <v>0</v>
      </c>
    </row>
    <row r="192" spans="1:17" ht="31.5">
      <c r="A192" s="136" t="s">
        <v>1913</v>
      </c>
      <c r="B192" s="137" t="s">
        <v>1916</v>
      </c>
      <c r="C192" s="138" t="s">
        <v>1499</v>
      </c>
      <c r="D192" s="138" t="s">
        <v>1474</v>
      </c>
      <c r="E192" s="136" t="s">
        <v>1571</v>
      </c>
      <c r="F192" s="419">
        <v>42735</v>
      </c>
      <c r="G192" s="140">
        <v>8802.3350000000009</v>
      </c>
      <c r="H192" s="140">
        <v>72</v>
      </c>
      <c r="I192" s="143" t="s">
        <v>189</v>
      </c>
      <c r="J192" s="140">
        <v>-112.205</v>
      </c>
      <c r="K192" s="140">
        <v>3297.154</v>
      </c>
      <c r="L192" s="140">
        <v>4539.1220000000003</v>
      </c>
      <c r="M192" s="143" t="s">
        <v>189</v>
      </c>
      <c r="N192" s="143" t="s">
        <v>189</v>
      </c>
      <c r="P192" s="608">
        <v>3297.154</v>
      </c>
      <c r="Q192" s="141">
        <f t="shared" si="6"/>
        <v>0</v>
      </c>
    </row>
    <row r="193" spans="1:17" ht="52.5">
      <c r="A193" s="138" t="s">
        <v>1915</v>
      </c>
      <c r="B193" s="135" t="s">
        <v>1918</v>
      </c>
      <c r="C193" s="136" t="s">
        <v>1075</v>
      </c>
      <c r="D193" s="136" t="s">
        <v>969</v>
      </c>
      <c r="E193" s="138" t="s">
        <v>1571</v>
      </c>
      <c r="F193" s="420">
        <v>43100</v>
      </c>
      <c r="G193" s="141">
        <v>8744.9476899999991</v>
      </c>
      <c r="H193" s="141">
        <v>40</v>
      </c>
      <c r="I193" s="141">
        <v>102.36778</v>
      </c>
      <c r="J193" s="141">
        <v>272.57203999999996</v>
      </c>
      <c r="K193" s="141">
        <v>2708.8643499999998</v>
      </c>
      <c r="L193" s="141">
        <v>4532.5877599999994</v>
      </c>
      <c r="M193" s="141">
        <v>5.25</v>
      </c>
      <c r="N193" s="141">
        <v>19.25</v>
      </c>
      <c r="O193" s="211">
        <f t="shared" si="5"/>
        <v>0.21428571428571427</v>
      </c>
      <c r="P193" s="610">
        <v>2708.8643499999998</v>
      </c>
      <c r="Q193" s="141">
        <f t="shared" si="6"/>
        <v>580.47093214285712</v>
      </c>
    </row>
    <row r="194" spans="1:17" ht="42">
      <c r="A194" s="136" t="s">
        <v>1917</v>
      </c>
      <c r="B194" s="137" t="s">
        <v>1920</v>
      </c>
      <c r="C194" s="138" t="s">
        <v>1064</v>
      </c>
      <c r="D194" s="138" t="s">
        <v>971</v>
      </c>
      <c r="E194" s="136" t="s">
        <v>1571</v>
      </c>
      <c r="F194" s="419">
        <v>43100</v>
      </c>
      <c r="G194" s="140">
        <v>8661.462739999999</v>
      </c>
      <c r="H194" s="140">
        <v>23</v>
      </c>
      <c r="I194" s="140">
        <v>7.2689699999999995</v>
      </c>
      <c r="J194" s="140">
        <v>16.25103</v>
      </c>
      <c r="K194" s="140">
        <v>1244.52333</v>
      </c>
      <c r="L194" s="140">
        <v>1471.5219500000001</v>
      </c>
      <c r="M194" s="140">
        <v>17</v>
      </c>
      <c r="N194" s="140">
        <v>23</v>
      </c>
      <c r="O194" s="211">
        <f t="shared" si="5"/>
        <v>0.42499999999999999</v>
      </c>
      <c r="P194" s="608">
        <v>1244.52333</v>
      </c>
      <c r="Q194" s="141">
        <f t="shared" si="6"/>
        <v>528.92241524999997</v>
      </c>
    </row>
    <row r="195" spans="1:17" ht="31.5">
      <c r="A195" s="138" t="s">
        <v>1919</v>
      </c>
      <c r="B195" s="135" t="s">
        <v>1922</v>
      </c>
      <c r="C195" s="136" t="s">
        <v>765</v>
      </c>
      <c r="D195" s="136" t="s">
        <v>753</v>
      </c>
      <c r="E195" s="138" t="s">
        <v>1571</v>
      </c>
      <c r="F195" s="420">
        <v>36891</v>
      </c>
      <c r="G195" s="141">
        <v>8417.11</v>
      </c>
      <c r="H195" s="141">
        <v>45</v>
      </c>
      <c r="I195" s="141"/>
      <c r="J195" s="141">
        <v>425.11</v>
      </c>
      <c r="K195" s="141">
        <v>812.9</v>
      </c>
      <c r="L195" s="141">
        <v>1930.13</v>
      </c>
      <c r="M195" s="141">
        <v>14</v>
      </c>
      <c r="N195" s="141">
        <v>24</v>
      </c>
      <c r="O195" s="211">
        <f t="shared" si="5"/>
        <v>0.36842105263157893</v>
      </c>
      <c r="P195" s="610">
        <v>812.9</v>
      </c>
      <c r="Q195" s="141">
        <f t="shared" si="6"/>
        <v>299.48947368421051</v>
      </c>
    </row>
    <row r="196" spans="1:17">
      <c r="A196" s="136" t="s">
        <v>1921</v>
      </c>
      <c r="B196" s="137" t="s">
        <v>1924</v>
      </c>
      <c r="C196" s="138" t="s">
        <v>695</v>
      </c>
      <c r="D196" s="138" t="s">
        <v>696</v>
      </c>
      <c r="E196" s="136" t="s">
        <v>1571</v>
      </c>
      <c r="F196" s="419">
        <v>43100</v>
      </c>
      <c r="G196" s="140">
        <v>8296.5376699999997</v>
      </c>
      <c r="H196" s="140">
        <v>58</v>
      </c>
      <c r="I196" s="143" t="s">
        <v>189</v>
      </c>
      <c r="J196" s="140">
        <v>581.6708000000001</v>
      </c>
      <c r="K196" s="140">
        <v>3051.6573499999995</v>
      </c>
      <c r="L196" s="140">
        <v>3729.7264</v>
      </c>
      <c r="M196" s="140">
        <v>14</v>
      </c>
      <c r="N196" s="140">
        <v>58</v>
      </c>
      <c r="O196" s="211">
        <f t="shared" si="5"/>
        <v>0.19444444444444445</v>
      </c>
      <c r="P196" s="608">
        <v>3051.6573499999995</v>
      </c>
      <c r="Q196" s="141">
        <f t="shared" si="6"/>
        <v>593.37781805555551</v>
      </c>
    </row>
    <row r="197" spans="1:17" ht="42">
      <c r="A197" s="138" t="s">
        <v>1923</v>
      </c>
      <c r="B197" s="135" t="s">
        <v>1926</v>
      </c>
      <c r="C197" s="136" t="s">
        <v>920</v>
      </c>
      <c r="D197" s="136" t="s">
        <v>811</v>
      </c>
      <c r="E197" s="138" t="s">
        <v>1571</v>
      </c>
      <c r="F197" s="420">
        <v>37621</v>
      </c>
      <c r="G197" s="141">
        <v>8203.0010000000002</v>
      </c>
      <c r="H197" s="141">
        <v>61</v>
      </c>
      <c r="I197" s="141">
        <v>287.03100000000001</v>
      </c>
      <c r="J197" s="141">
        <v>618.65100000000007</v>
      </c>
      <c r="K197" s="141">
        <v>2115.5889999999999</v>
      </c>
      <c r="L197" s="141">
        <v>3347.9169999999999</v>
      </c>
      <c r="M197" s="141">
        <v>4</v>
      </c>
      <c r="N197" s="141">
        <v>15</v>
      </c>
      <c r="O197" s="211">
        <f t="shared" si="5"/>
        <v>0.21052631578947367</v>
      </c>
      <c r="P197" s="610">
        <v>2115.5889999999999</v>
      </c>
      <c r="Q197" s="141">
        <f t="shared" si="6"/>
        <v>445.38715789473679</v>
      </c>
    </row>
    <row r="198" spans="1:17" ht="21">
      <c r="A198" s="136" t="s">
        <v>1925</v>
      </c>
      <c r="B198" s="137" t="s">
        <v>1928</v>
      </c>
      <c r="C198" s="138" t="s">
        <v>1066</v>
      </c>
      <c r="D198" s="138" t="s">
        <v>971</v>
      </c>
      <c r="E198" s="136" t="s">
        <v>1571</v>
      </c>
      <c r="F198" s="419">
        <v>43100</v>
      </c>
      <c r="G198" s="140">
        <v>8198.7691699999996</v>
      </c>
      <c r="H198" s="140">
        <v>22</v>
      </c>
      <c r="I198" s="140">
        <v>13.545400000000001</v>
      </c>
      <c r="J198" s="140">
        <v>34.77928</v>
      </c>
      <c r="K198" s="140">
        <v>1407.8392100000001</v>
      </c>
      <c r="L198" s="140">
        <v>1540.3503590000003</v>
      </c>
      <c r="M198" s="140">
        <v>241.5</v>
      </c>
      <c r="N198" s="140">
        <v>4.2</v>
      </c>
      <c r="O198" s="211">
        <f t="shared" si="5"/>
        <v>0.98290598290598297</v>
      </c>
      <c r="P198" s="608">
        <v>1407.8392100000001</v>
      </c>
      <c r="Q198" s="141">
        <f t="shared" si="6"/>
        <v>1383.7735824786328</v>
      </c>
    </row>
    <row r="199" spans="1:17" ht="21">
      <c r="A199" s="138" t="s">
        <v>1927</v>
      </c>
      <c r="B199" s="135" t="s">
        <v>1930</v>
      </c>
      <c r="C199" s="136" t="s">
        <v>674</v>
      </c>
      <c r="D199" s="136" t="s">
        <v>1931</v>
      </c>
      <c r="E199" s="138" t="s">
        <v>1571</v>
      </c>
      <c r="F199" s="420">
        <v>43100</v>
      </c>
      <c r="G199" s="141">
        <v>8095.1790999999994</v>
      </c>
      <c r="H199" s="141">
        <v>33</v>
      </c>
      <c r="I199" s="142" t="s">
        <v>189</v>
      </c>
      <c r="J199" s="141">
        <v>1970.5738100000001</v>
      </c>
      <c r="K199" s="141">
        <v>1515.9959699999999</v>
      </c>
      <c r="L199" s="141">
        <v>3948.7774299999996</v>
      </c>
      <c r="M199" s="141">
        <v>13</v>
      </c>
      <c r="N199" s="141">
        <v>47</v>
      </c>
      <c r="O199" s="211">
        <f t="shared" si="5"/>
        <v>0.21666666666666667</v>
      </c>
      <c r="P199" s="610">
        <v>1515.9959699999999</v>
      </c>
      <c r="Q199" s="141">
        <f t="shared" si="6"/>
        <v>328.46579350000002</v>
      </c>
    </row>
    <row r="200" spans="1:17" ht="42">
      <c r="A200" s="136" t="s">
        <v>1929</v>
      </c>
      <c r="B200" s="137" t="s">
        <v>1933</v>
      </c>
      <c r="C200" s="138" t="s">
        <v>1141</v>
      </c>
      <c r="D200" s="138" t="s">
        <v>1142</v>
      </c>
      <c r="E200" s="136" t="s">
        <v>1571</v>
      </c>
      <c r="F200" s="419">
        <v>43100</v>
      </c>
      <c r="G200" s="140">
        <v>8034.1760000000004</v>
      </c>
      <c r="H200" s="140">
        <v>24</v>
      </c>
      <c r="I200" s="140">
        <v>87.412390000000002</v>
      </c>
      <c r="J200" s="140">
        <v>254.47620000000001</v>
      </c>
      <c r="K200" s="140">
        <v>1280.3167100000001</v>
      </c>
      <c r="L200" s="140">
        <v>1939.2268300000001</v>
      </c>
      <c r="M200" s="143" t="s">
        <v>189</v>
      </c>
      <c r="N200" s="143" t="s">
        <v>189</v>
      </c>
      <c r="P200" s="608">
        <v>1280.3167100000001</v>
      </c>
      <c r="Q200" s="141">
        <f t="shared" si="6"/>
        <v>0</v>
      </c>
    </row>
    <row r="201" spans="1:17" ht="42">
      <c r="A201" s="138" t="s">
        <v>1932</v>
      </c>
      <c r="B201" s="135" t="s">
        <v>1935</v>
      </c>
      <c r="C201" s="136" t="s">
        <v>779</v>
      </c>
      <c r="D201" s="136" t="s">
        <v>780</v>
      </c>
      <c r="E201" s="138" t="s">
        <v>1571</v>
      </c>
      <c r="F201" s="420">
        <v>43100</v>
      </c>
      <c r="G201" s="141">
        <v>8023.55728</v>
      </c>
      <c r="H201" s="141">
        <v>40</v>
      </c>
      <c r="I201" s="142" t="s">
        <v>189</v>
      </c>
      <c r="J201" s="141">
        <v>493.70271000000002</v>
      </c>
      <c r="K201" s="141">
        <v>1467.09295</v>
      </c>
      <c r="L201" s="141">
        <v>2226.5489099999995</v>
      </c>
      <c r="M201" s="141">
        <v>8</v>
      </c>
      <c r="N201" s="141">
        <v>21</v>
      </c>
      <c r="O201" s="211">
        <f t="shared" si="5"/>
        <v>0.27586206896551724</v>
      </c>
      <c r="P201" s="610">
        <v>1467.09295</v>
      </c>
      <c r="Q201" s="141">
        <f t="shared" si="6"/>
        <v>404.71529655172412</v>
      </c>
    </row>
    <row r="202" spans="1:17">
      <c r="A202" s="136" t="s">
        <v>1934</v>
      </c>
      <c r="B202" s="137" t="s">
        <v>1937</v>
      </c>
      <c r="C202" s="138" t="s">
        <v>617</v>
      </c>
      <c r="D202" s="138" t="s">
        <v>596</v>
      </c>
      <c r="E202" s="136" t="s">
        <v>1571</v>
      </c>
      <c r="F202" s="419">
        <v>43100</v>
      </c>
      <c r="G202" s="140">
        <v>7813.232</v>
      </c>
      <c r="H202" s="140">
        <v>38</v>
      </c>
      <c r="I202" s="140">
        <v>2.85</v>
      </c>
      <c r="J202" s="140">
        <v>7.4089999999999998</v>
      </c>
      <c r="K202" s="140">
        <v>1532.6610000000001</v>
      </c>
      <c r="L202" s="140">
        <v>1557.6210000000001</v>
      </c>
      <c r="M202" s="143" t="s">
        <v>189</v>
      </c>
      <c r="N202" s="143" t="s">
        <v>189</v>
      </c>
      <c r="P202" s="608">
        <v>1532.6610000000001</v>
      </c>
      <c r="Q202" s="141">
        <f t="shared" si="6"/>
        <v>0</v>
      </c>
    </row>
    <row r="203" spans="1:17" ht="21">
      <c r="A203" s="138" t="s">
        <v>1936</v>
      </c>
      <c r="B203" s="135" t="s">
        <v>1939</v>
      </c>
      <c r="C203" s="136" t="s">
        <v>1494</v>
      </c>
      <c r="D203" s="136" t="s">
        <v>1474</v>
      </c>
      <c r="E203" s="138" t="s">
        <v>1571</v>
      </c>
      <c r="F203" s="420">
        <v>43100</v>
      </c>
      <c r="G203" s="141">
        <v>7747.0777000000007</v>
      </c>
      <c r="H203" s="141">
        <v>19</v>
      </c>
      <c r="I203" s="141">
        <v>162.63804999999999</v>
      </c>
      <c r="J203" s="141">
        <v>519.23725000000002</v>
      </c>
      <c r="K203" s="141">
        <v>1132.3220900000001</v>
      </c>
      <c r="L203" s="141">
        <v>1989.2763600000001</v>
      </c>
      <c r="M203" s="141">
        <v>39</v>
      </c>
      <c r="N203" s="141">
        <v>33</v>
      </c>
      <c r="O203" s="211">
        <f t="shared" si="5"/>
        <v>0.54166666666666663</v>
      </c>
      <c r="P203" s="610">
        <v>1132.3220900000001</v>
      </c>
      <c r="Q203" s="141">
        <f t="shared" si="6"/>
        <v>613.34113208333338</v>
      </c>
    </row>
    <row r="204" spans="1:17" ht="21">
      <c r="A204" s="136" t="s">
        <v>1938</v>
      </c>
      <c r="B204" s="137" t="s">
        <v>1941</v>
      </c>
      <c r="C204" s="138" t="s">
        <v>1555</v>
      </c>
      <c r="D204" s="138" t="s">
        <v>1279</v>
      </c>
      <c r="E204" s="136" t="s">
        <v>1571</v>
      </c>
      <c r="F204" s="419">
        <v>43100</v>
      </c>
      <c r="G204" s="140">
        <v>7609.8110000000006</v>
      </c>
      <c r="H204" s="140">
        <v>122</v>
      </c>
      <c r="I204" s="140"/>
      <c r="J204" s="140">
        <v>6.3449999999999998</v>
      </c>
      <c r="K204" s="140">
        <v>4284.7089999999998</v>
      </c>
      <c r="L204" s="140">
        <v>4478.4059999999999</v>
      </c>
      <c r="M204" s="140">
        <v>22</v>
      </c>
      <c r="N204" s="140">
        <v>40</v>
      </c>
      <c r="O204" s="211">
        <f t="shared" si="5"/>
        <v>0.35483870967741937</v>
      </c>
      <c r="P204" s="608">
        <v>4284.7089999999998</v>
      </c>
      <c r="Q204" s="141">
        <f t="shared" si="6"/>
        <v>1520.3806129032257</v>
      </c>
    </row>
    <row r="205" spans="1:17" ht="63">
      <c r="A205" s="138" t="s">
        <v>1940</v>
      </c>
      <c r="B205" s="135" t="s">
        <v>1943</v>
      </c>
      <c r="C205" s="136" t="s">
        <v>887</v>
      </c>
      <c r="D205" s="136" t="s">
        <v>811</v>
      </c>
      <c r="E205" s="138" t="s">
        <v>1571</v>
      </c>
      <c r="F205" s="420">
        <v>42794</v>
      </c>
      <c r="G205" s="141">
        <v>7572.0089500000004</v>
      </c>
      <c r="H205" s="141">
        <v>40</v>
      </c>
      <c r="I205" s="141">
        <v>68.733120000000014</v>
      </c>
      <c r="J205" s="141">
        <v>199.16820000000001</v>
      </c>
      <c r="K205" s="141">
        <v>1145.99305</v>
      </c>
      <c r="L205" s="141">
        <v>1528.77</v>
      </c>
      <c r="M205" s="141">
        <v>19</v>
      </c>
      <c r="N205" s="141">
        <v>12</v>
      </c>
      <c r="O205" s="211">
        <f t="shared" si="5"/>
        <v>0.61290322580645162</v>
      </c>
      <c r="P205" s="610">
        <v>1145.99305</v>
      </c>
      <c r="Q205" s="141">
        <f t="shared" si="6"/>
        <v>702.38283709677421</v>
      </c>
    </row>
    <row r="206" spans="1:17">
      <c r="A206" s="136" t="s">
        <v>1942</v>
      </c>
      <c r="B206" s="137" t="s">
        <v>1945</v>
      </c>
      <c r="C206" s="138" t="s">
        <v>1207</v>
      </c>
      <c r="D206" s="138" t="s">
        <v>1208</v>
      </c>
      <c r="E206" s="136" t="s">
        <v>1571</v>
      </c>
      <c r="F206" s="419">
        <v>43100</v>
      </c>
      <c r="G206" s="140">
        <v>7506.30807</v>
      </c>
      <c r="H206" s="140">
        <v>32</v>
      </c>
      <c r="I206" s="140">
        <v>24.086660000000002</v>
      </c>
      <c r="J206" s="140">
        <v>115.4958</v>
      </c>
      <c r="K206" s="140">
        <v>1300.7006999999999</v>
      </c>
      <c r="L206" s="140">
        <v>1524.6308100000001</v>
      </c>
      <c r="M206" s="143" t="s">
        <v>189</v>
      </c>
      <c r="N206" s="143" t="s">
        <v>189</v>
      </c>
      <c r="P206" s="608">
        <v>1300.7006999999999</v>
      </c>
      <c r="Q206" s="141">
        <f t="shared" si="6"/>
        <v>0</v>
      </c>
    </row>
    <row r="207" spans="1:17" ht="42">
      <c r="A207" s="138" t="s">
        <v>1944</v>
      </c>
      <c r="B207" s="135" t="s">
        <v>1947</v>
      </c>
      <c r="C207" s="136" t="s">
        <v>1158</v>
      </c>
      <c r="D207" s="136" t="s">
        <v>1156</v>
      </c>
      <c r="E207" s="138" t="s">
        <v>1571</v>
      </c>
      <c r="F207" s="420">
        <v>43100</v>
      </c>
      <c r="G207" s="141">
        <v>7437.2255800000003</v>
      </c>
      <c r="H207" s="141">
        <v>72</v>
      </c>
      <c r="I207" s="142" t="s">
        <v>189</v>
      </c>
      <c r="J207" s="141">
        <v>240.47537999999997</v>
      </c>
      <c r="K207" s="141">
        <v>2739.9998499999997</v>
      </c>
      <c r="L207" s="141">
        <v>3429.1771000000003</v>
      </c>
      <c r="M207" s="141">
        <v>8</v>
      </c>
      <c r="N207" s="141">
        <v>37</v>
      </c>
      <c r="O207" s="211">
        <f t="shared" si="5"/>
        <v>0.17777777777777778</v>
      </c>
      <c r="P207" s="610">
        <v>2739.9998499999997</v>
      </c>
      <c r="Q207" s="141">
        <f t="shared" si="6"/>
        <v>487.11108444444443</v>
      </c>
    </row>
    <row r="208" spans="1:17" ht="52.5">
      <c r="A208" s="136" t="s">
        <v>1946</v>
      </c>
      <c r="B208" s="137" t="s">
        <v>1949</v>
      </c>
      <c r="C208" s="138" t="s">
        <v>883</v>
      </c>
      <c r="D208" s="138" t="s">
        <v>811</v>
      </c>
      <c r="E208" s="136" t="s">
        <v>1571</v>
      </c>
      <c r="F208" s="419">
        <v>43100</v>
      </c>
      <c r="G208" s="140">
        <v>7423.3516099999997</v>
      </c>
      <c r="H208" s="140">
        <v>62</v>
      </c>
      <c r="I208" s="140">
        <v>48.413940000000004</v>
      </c>
      <c r="J208" s="140">
        <v>306.57341000000002</v>
      </c>
      <c r="K208" s="140">
        <v>2279.0070099999998</v>
      </c>
      <c r="L208" s="140">
        <v>2800.1018599999998</v>
      </c>
      <c r="M208" s="143" t="s">
        <v>189</v>
      </c>
      <c r="N208" s="143" t="s">
        <v>189</v>
      </c>
      <c r="P208" s="608">
        <v>2279.0070099999998</v>
      </c>
      <c r="Q208" s="141">
        <f t="shared" si="6"/>
        <v>0</v>
      </c>
    </row>
    <row r="209" spans="1:17" ht="21">
      <c r="A209" s="138" t="s">
        <v>1948</v>
      </c>
      <c r="B209" s="135" t="s">
        <v>1951</v>
      </c>
      <c r="C209" s="136" t="s">
        <v>855</v>
      </c>
      <c r="D209" s="136" t="s">
        <v>188</v>
      </c>
      <c r="E209" s="138" t="s">
        <v>1571</v>
      </c>
      <c r="F209" s="420">
        <v>43100</v>
      </c>
      <c r="G209" s="141">
        <v>7402.5176199999996</v>
      </c>
      <c r="H209" s="141">
        <v>28</v>
      </c>
      <c r="I209" s="141">
        <v>111.38813</v>
      </c>
      <c r="J209" s="141">
        <v>624.07746999999995</v>
      </c>
      <c r="K209" s="141">
        <v>919.22387000000003</v>
      </c>
      <c r="L209" s="141">
        <v>1674.2945200000001</v>
      </c>
      <c r="M209" s="142" t="s">
        <v>189</v>
      </c>
      <c r="N209" s="142" t="s">
        <v>189</v>
      </c>
      <c r="P209" s="610">
        <v>919.22387000000003</v>
      </c>
      <c r="Q209" s="141">
        <f t="shared" si="6"/>
        <v>0</v>
      </c>
    </row>
    <row r="210" spans="1:17" ht="31.5">
      <c r="A210" s="136" t="s">
        <v>1950</v>
      </c>
      <c r="B210" s="137" t="s">
        <v>1953</v>
      </c>
      <c r="C210" s="138" t="s">
        <v>1252</v>
      </c>
      <c r="D210" s="138" t="s">
        <v>1251</v>
      </c>
      <c r="E210" s="136" t="s">
        <v>1571</v>
      </c>
      <c r="F210" s="419">
        <v>43100</v>
      </c>
      <c r="G210" s="140">
        <v>7245.4241000000002</v>
      </c>
      <c r="H210" s="140">
        <v>42</v>
      </c>
      <c r="I210" s="140">
        <v>497.14298000000002</v>
      </c>
      <c r="J210" s="140">
        <v>1650.0739099999998</v>
      </c>
      <c r="K210" s="140">
        <v>2336.6769099999997</v>
      </c>
      <c r="L210" s="140">
        <v>4512.8558700000003</v>
      </c>
      <c r="M210" s="143" t="s">
        <v>189</v>
      </c>
      <c r="N210" s="143" t="s">
        <v>189</v>
      </c>
      <c r="P210" s="608">
        <v>2336.6769099999997</v>
      </c>
      <c r="Q210" s="141">
        <f t="shared" si="6"/>
        <v>0</v>
      </c>
    </row>
    <row r="211" spans="1:17" ht="21">
      <c r="A211" s="138" t="s">
        <v>1952</v>
      </c>
      <c r="B211" s="135" t="s">
        <v>1955</v>
      </c>
      <c r="C211" s="136" t="s">
        <v>739</v>
      </c>
      <c r="D211" s="136" t="s">
        <v>1788</v>
      </c>
      <c r="E211" s="138" t="s">
        <v>1571</v>
      </c>
      <c r="F211" s="420">
        <v>43100</v>
      </c>
      <c r="G211" s="141">
        <v>7227.0622599999997</v>
      </c>
      <c r="H211" s="141">
        <v>47</v>
      </c>
      <c r="I211" s="141"/>
      <c r="J211" s="141">
        <v>-407.12693999999999</v>
      </c>
      <c r="K211" s="141">
        <v>1752.84148</v>
      </c>
      <c r="L211" s="141">
        <v>2752.8269299999997</v>
      </c>
      <c r="M211" s="142" t="s">
        <v>189</v>
      </c>
      <c r="N211" s="142" t="s">
        <v>189</v>
      </c>
      <c r="P211" s="610">
        <v>1752.84148</v>
      </c>
      <c r="Q211" s="141">
        <f t="shared" si="6"/>
        <v>0</v>
      </c>
    </row>
    <row r="212" spans="1:17" ht="31.5">
      <c r="A212" s="136" t="s">
        <v>1954</v>
      </c>
      <c r="B212" s="139" t="s">
        <v>1957</v>
      </c>
      <c r="C212" s="138" t="s">
        <v>1188</v>
      </c>
      <c r="D212" s="138" t="s">
        <v>1184</v>
      </c>
      <c r="E212" s="136" t="s">
        <v>1571</v>
      </c>
      <c r="F212" s="419">
        <v>43100</v>
      </c>
      <c r="G212" s="140">
        <v>7137.1530000000002</v>
      </c>
      <c r="H212" s="140">
        <v>47</v>
      </c>
      <c r="I212" s="140">
        <v>42.079000000000001</v>
      </c>
      <c r="J212" s="140">
        <v>629.90100000000007</v>
      </c>
      <c r="K212" s="140">
        <v>2594.7980000000002</v>
      </c>
      <c r="L212" s="140">
        <v>3591.6660000000002</v>
      </c>
      <c r="M212" s="140">
        <v>17</v>
      </c>
      <c r="N212" s="140">
        <v>44</v>
      </c>
      <c r="O212" s="211">
        <f t="shared" si="5"/>
        <v>0.27868852459016391</v>
      </c>
      <c r="P212" s="608">
        <v>2594.7980000000002</v>
      </c>
      <c r="Q212" s="141">
        <f t="shared" si="6"/>
        <v>723.14042622950819</v>
      </c>
    </row>
    <row r="213" spans="1:17">
      <c r="A213" s="138" t="s">
        <v>1956</v>
      </c>
      <c r="B213" s="135" t="s">
        <v>1959</v>
      </c>
      <c r="C213" s="136" t="s">
        <v>796</v>
      </c>
      <c r="D213" s="136" t="s">
        <v>795</v>
      </c>
      <c r="E213" s="138" t="s">
        <v>1571</v>
      </c>
      <c r="F213" s="420">
        <v>43100</v>
      </c>
      <c r="G213" s="141">
        <v>7131.5694599999997</v>
      </c>
      <c r="H213" s="141">
        <v>46</v>
      </c>
      <c r="I213" s="141">
        <v>56.785199999999996</v>
      </c>
      <c r="J213" s="141">
        <v>384.54755</v>
      </c>
      <c r="K213" s="141">
        <v>1908.86401</v>
      </c>
      <c r="L213" s="141">
        <v>2516.1250299999997</v>
      </c>
      <c r="M213" s="142" t="s">
        <v>189</v>
      </c>
      <c r="N213" s="142" t="s">
        <v>189</v>
      </c>
      <c r="P213" s="610">
        <v>1908.86401</v>
      </c>
      <c r="Q213" s="141">
        <f t="shared" si="6"/>
        <v>0</v>
      </c>
    </row>
    <row r="214" spans="1:17" ht="42">
      <c r="A214" s="136" t="s">
        <v>1958</v>
      </c>
      <c r="B214" s="137" t="s">
        <v>1961</v>
      </c>
      <c r="C214" s="138" t="s">
        <v>854</v>
      </c>
      <c r="D214" s="138" t="s">
        <v>811</v>
      </c>
      <c r="E214" s="136" t="s">
        <v>1571</v>
      </c>
      <c r="F214" s="419">
        <v>43100</v>
      </c>
      <c r="G214" s="140">
        <v>7061.40708</v>
      </c>
      <c r="H214" s="140">
        <v>32</v>
      </c>
      <c r="I214" s="140">
        <v>63.812340000000006</v>
      </c>
      <c r="J214" s="140">
        <v>379.53899999999999</v>
      </c>
      <c r="K214" s="140">
        <v>1723.6766200000002</v>
      </c>
      <c r="L214" s="140">
        <v>2306.4068789999997</v>
      </c>
      <c r="M214" s="140">
        <v>9</v>
      </c>
      <c r="N214" s="140">
        <v>10</v>
      </c>
      <c r="O214" s="211">
        <f t="shared" si="5"/>
        <v>0.47368421052631576</v>
      </c>
      <c r="P214" s="608">
        <v>1723.6766200000002</v>
      </c>
      <c r="Q214" s="141">
        <f t="shared" si="6"/>
        <v>816.47839894736842</v>
      </c>
    </row>
    <row r="215" spans="1:17">
      <c r="A215" s="138" t="s">
        <v>1960</v>
      </c>
      <c r="B215" s="135" t="s">
        <v>1963</v>
      </c>
      <c r="C215" s="136" t="s">
        <v>671</v>
      </c>
      <c r="D215" s="136" t="s">
        <v>668</v>
      </c>
      <c r="E215" s="138" t="s">
        <v>1571</v>
      </c>
      <c r="F215" s="420">
        <v>43100</v>
      </c>
      <c r="G215" s="141">
        <v>7053.8671899999999</v>
      </c>
      <c r="H215" s="141">
        <v>210</v>
      </c>
      <c r="I215" s="141">
        <v>48.304440000000007</v>
      </c>
      <c r="J215" s="141">
        <v>294.84530000000001</v>
      </c>
      <c r="K215" s="141">
        <v>5201.2506299999995</v>
      </c>
      <c r="L215" s="141">
        <v>5600.0407999999998</v>
      </c>
      <c r="M215" s="141">
        <v>6</v>
      </c>
      <c r="N215" s="141">
        <v>54</v>
      </c>
      <c r="O215" s="211">
        <f t="shared" si="5"/>
        <v>0.1</v>
      </c>
      <c r="P215" s="610">
        <v>5201.2506299999995</v>
      </c>
      <c r="Q215" s="141">
        <f t="shared" si="6"/>
        <v>520.12506299999995</v>
      </c>
    </row>
    <row r="216" spans="1:17">
      <c r="A216" s="136" t="s">
        <v>1962</v>
      </c>
      <c r="B216" s="137" t="s">
        <v>1965</v>
      </c>
      <c r="C216" s="138" t="s">
        <v>613</v>
      </c>
      <c r="D216" s="138" t="s">
        <v>596</v>
      </c>
      <c r="E216" s="136" t="s">
        <v>1571</v>
      </c>
      <c r="F216" s="419">
        <v>43100</v>
      </c>
      <c r="G216" s="140">
        <v>7053.3770000000004</v>
      </c>
      <c r="H216" s="140">
        <v>57</v>
      </c>
      <c r="I216" s="143" t="s">
        <v>189</v>
      </c>
      <c r="J216" s="140">
        <v>-480.12400000000002</v>
      </c>
      <c r="K216" s="140">
        <v>2118.788</v>
      </c>
      <c r="L216" s="140">
        <v>2229.37</v>
      </c>
      <c r="M216" s="140">
        <v>6</v>
      </c>
      <c r="N216" s="140">
        <v>23</v>
      </c>
      <c r="O216" s="211">
        <f t="shared" si="5"/>
        <v>0.20689655172413793</v>
      </c>
      <c r="P216" s="608">
        <v>2118.788</v>
      </c>
      <c r="Q216" s="141">
        <f t="shared" si="6"/>
        <v>438.36993103448276</v>
      </c>
    </row>
    <row r="217" spans="1:17" ht="21">
      <c r="A217" s="138" t="s">
        <v>1964</v>
      </c>
      <c r="B217" s="135" t="s">
        <v>1967</v>
      </c>
      <c r="C217" s="136" t="s">
        <v>767</v>
      </c>
      <c r="D217" s="136" t="s">
        <v>753</v>
      </c>
      <c r="E217" s="138" t="s">
        <v>1571</v>
      </c>
      <c r="F217" s="420">
        <v>42735</v>
      </c>
      <c r="G217" s="141">
        <v>6905.2519199999997</v>
      </c>
      <c r="H217" s="141">
        <v>53</v>
      </c>
      <c r="I217" s="141">
        <v>12.277349999999998</v>
      </c>
      <c r="J217" s="141">
        <v>242.84819000000002</v>
      </c>
      <c r="K217" s="141">
        <v>2278.1620699999999</v>
      </c>
      <c r="L217" s="141">
        <v>2927.6303199999998</v>
      </c>
      <c r="M217" s="141">
        <v>6</v>
      </c>
      <c r="N217" s="141">
        <v>43</v>
      </c>
      <c r="O217" s="211">
        <f t="shared" si="5"/>
        <v>0.12244897959183673</v>
      </c>
      <c r="P217" s="610">
        <v>2278.1620699999999</v>
      </c>
      <c r="Q217" s="141">
        <f t="shared" si="6"/>
        <v>278.95862081632652</v>
      </c>
    </row>
    <row r="218" spans="1:17" ht="42">
      <c r="A218" s="136" t="s">
        <v>1966</v>
      </c>
      <c r="B218" s="137" t="s">
        <v>1969</v>
      </c>
      <c r="C218" s="138" t="s">
        <v>900</v>
      </c>
      <c r="D218" s="138" t="s">
        <v>811</v>
      </c>
      <c r="E218" s="136" t="s">
        <v>1571</v>
      </c>
      <c r="F218" s="419">
        <v>43100</v>
      </c>
      <c r="G218" s="140">
        <v>6793.4019400000006</v>
      </c>
      <c r="H218" s="140">
        <v>32</v>
      </c>
      <c r="I218" s="140">
        <v>197.39265</v>
      </c>
      <c r="J218" s="140">
        <v>863.20610999999997</v>
      </c>
      <c r="K218" s="140">
        <v>1809.0687399999999</v>
      </c>
      <c r="L218" s="140">
        <v>2989.9828699999998</v>
      </c>
      <c r="M218" s="143" t="s">
        <v>189</v>
      </c>
      <c r="N218" s="143" t="s">
        <v>189</v>
      </c>
      <c r="P218" s="608">
        <v>1809.0687399999999</v>
      </c>
      <c r="Q218" s="141">
        <f t="shared" si="6"/>
        <v>0</v>
      </c>
    </row>
    <row r="219" spans="1:17" ht="21">
      <c r="A219" s="138" t="s">
        <v>1968</v>
      </c>
      <c r="B219" s="135" t="s">
        <v>1971</v>
      </c>
      <c r="C219" s="136" t="s">
        <v>635</v>
      </c>
      <c r="D219" s="136" t="s">
        <v>1972</v>
      </c>
      <c r="E219" s="138" t="s">
        <v>1571</v>
      </c>
      <c r="F219" s="420">
        <v>43100</v>
      </c>
      <c r="G219" s="141">
        <v>6669</v>
      </c>
      <c r="H219" s="141">
        <v>20</v>
      </c>
      <c r="I219" s="142" t="s">
        <v>189</v>
      </c>
      <c r="J219" s="141">
        <v>-1323</v>
      </c>
      <c r="K219" s="141">
        <v>1388</v>
      </c>
      <c r="L219" s="141">
        <v>2336</v>
      </c>
      <c r="M219" s="142" t="s">
        <v>189</v>
      </c>
      <c r="N219" s="142" t="s">
        <v>189</v>
      </c>
      <c r="P219" s="610">
        <v>1388</v>
      </c>
      <c r="Q219" s="141">
        <f t="shared" si="6"/>
        <v>0</v>
      </c>
    </row>
    <row r="220" spans="1:17" ht="31.5">
      <c r="A220" s="136" t="s">
        <v>1970</v>
      </c>
      <c r="B220" s="137" t="s">
        <v>1974</v>
      </c>
      <c r="C220" s="138" t="s">
        <v>1062</v>
      </c>
      <c r="D220" s="138" t="s">
        <v>971</v>
      </c>
      <c r="E220" s="136" t="s">
        <v>1571</v>
      </c>
      <c r="F220" s="419">
        <v>43100</v>
      </c>
      <c r="G220" s="140">
        <v>6667.5947900000001</v>
      </c>
      <c r="H220" s="140">
        <v>57</v>
      </c>
      <c r="I220" s="140">
        <v>128.51203999999998</v>
      </c>
      <c r="J220" s="140">
        <v>335.52159999999998</v>
      </c>
      <c r="K220" s="140">
        <v>2680.9881700000001</v>
      </c>
      <c r="L220" s="140">
        <v>3311.1158089999999</v>
      </c>
      <c r="M220" s="143" t="s">
        <v>189</v>
      </c>
      <c r="N220" s="143" t="s">
        <v>189</v>
      </c>
      <c r="P220" s="608">
        <v>2680.9881700000001</v>
      </c>
      <c r="Q220" s="141">
        <f t="shared" si="6"/>
        <v>0</v>
      </c>
    </row>
    <row r="221" spans="1:17" ht="31.5">
      <c r="A221" s="138" t="s">
        <v>1973</v>
      </c>
      <c r="B221" s="135" t="s">
        <v>1976</v>
      </c>
      <c r="C221" s="136" t="s">
        <v>715</v>
      </c>
      <c r="D221" s="136" t="s">
        <v>716</v>
      </c>
      <c r="E221" s="138" t="s">
        <v>1571</v>
      </c>
      <c r="F221" s="420">
        <v>43100</v>
      </c>
      <c r="G221" s="141">
        <v>6599.7617500000006</v>
      </c>
      <c r="H221" s="141">
        <v>26</v>
      </c>
      <c r="I221" s="141">
        <v>45.596510000000002</v>
      </c>
      <c r="J221" s="141">
        <v>141.50479999999999</v>
      </c>
      <c r="K221" s="141">
        <v>1384.76694</v>
      </c>
      <c r="L221" s="141">
        <v>1579.10725</v>
      </c>
      <c r="M221" s="142" t="s">
        <v>189</v>
      </c>
      <c r="N221" s="142" t="s">
        <v>189</v>
      </c>
      <c r="P221" s="610">
        <v>1384.76694</v>
      </c>
      <c r="Q221" s="141">
        <f t="shared" si="6"/>
        <v>0</v>
      </c>
    </row>
    <row r="222" spans="1:17" ht="31.5">
      <c r="A222" s="136" t="s">
        <v>1975</v>
      </c>
      <c r="B222" s="137" t="s">
        <v>1978</v>
      </c>
      <c r="C222" s="138" t="s">
        <v>1088</v>
      </c>
      <c r="D222" s="138" t="s">
        <v>969</v>
      </c>
      <c r="E222" s="136" t="s">
        <v>1571</v>
      </c>
      <c r="F222" s="419">
        <v>43100</v>
      </c>
      <c r="G222" s="140">
        <v>6534.3530000000001</v>
      </c>
      <c r="H222" s="140">
        <v>49</v>
      </c>
      <c r="I222" s="143" t="s">
        <v>189</v>
      </c>
      <c r="J222" s="140">
        <v>228.54599999999999</v>
      </c>
      <c r="K222" s="140">
        <v>2712.5309999999999</v>
      </c>
      <c r="L222" s="140">
        <v>3006.0729999999999</v>
      </c>
      <c r="M222" s="143" t="s">
        <v>189</v>
      </c>
      <c r="N222" s="143" t="s">
        <v>189</v>
      </c>
      <c r="P222" s="608">
        <v>2712.5309999999999</v>
      </c>
      <c r="Q222" s="141">
        <f t="shared" si="6"/>
        <v>0</v>
      </c>
    </row>
    <row r="223" spans="1:17">
      <c r="A223" s="138" t="s">
        <v>1977</v>
      </c>
      <c r="B223" s="135" t="s">
        <v>1980</v>
      </c>
      <c r="C223" s="136" t="s">
        <v>687</v>
      </c>
      <c r="D223" s="136" t="s">
        <v>686</v>
      </c>
      <c r="E223" s="138" t="s">
        <v>1571</v>
      </c>
      <c r="F223" s="420">
        <v>43100</v>
      </c>
      <c r="G223" s="141">
        <v>6486.1329999999998</v>
      </c>
      <c r="H223" s="141">
        <v>18</v>
      </c>
      <c r="I223" s="141">
        <v>243.595</v>
      </c>
      <c r="J223" s="141">
        <v>783.63099999999997</v>
      </c>
      <c r="K223" s="141">
        <v>938.85800000000006</v>
      </c>
      <c r="L223" s="141">
        <v>2211.9810000000002</v>
      </c>
      <c r="M223" s="142" t="s">
        <v>189</v>
      </c>
      <c r="N223" s="142" t="s">
        <v>189</v>
      </c>
      <c r="P223" s="610">
        <v>938.85800000000006</v>
      </c>
      <c r="Q223" s="141">
        <f t="shared" si="6"/>
        <v>0</v>
      </c>
    </row>
    <row r="224" spans="1:17" ht="31.5">
      <c r="A224" s="136" t="s">
        <v>1979</v>
      </c>
      <c r="B224" s="137" t="s">
        <v>1982</v>
      </c>
      <c r="C224" s="138" t="s">
        <v>1194</v>
      </c>
      <c r="D224" s="138" t="s">
        <v>1190</v>
      </c>
      <c r="E224" s="136" t="s">
        <v>1571</v>
      </c>
      <c r="F224" s="419">
        <v>43100</v>
      </c>
      <c r="G224" s="140">
        <v>6443.7390000000005</v>
      </c>
      <c r="H224" s="140">
        <v>38</v>
      </c>
      <c r="I224" s="140"/>
      <c r="J224" s="140">
        <v>63.418500000000002</v>
      </c>
      <c r="K224" s="140">
        <v>1307.886</v>
      </c>
      <c r="L224" s="140">
        <v>1720.29</v>
      </c>
      <c r="M224" s="143" t="s">
        <v>189</v>
      </c>
      <c r="N224" s="143" t="s">
        <v>189</v>
      </c>
      <c r="P224" s="608">
        <v>1307.886</v>
      </c>
      <c r="Q224" s="141">
        <f t="shared" si="6"/>
        <v>0</v>
      </c>
    </row>
    <row r="225" spans="1:17" ht="31.5">
      <c r="A225" s="138" t="s">
        <v>1981</v>
      </c>
      <c r="B225" s="135" t="s">
        <v>1984</v>
      </c>
      <c r="C225" s="136" t="s">
        <v>676</v>
      </c>
      <c r="D225" s="136" t="s">
        <v>673</v>
      </c>
      <c r="E225" s="138" t="s">
        <v>1571</v>
      </c>
      <c r="F225" s="420">
        <v>43100</v>
      </c>
      <c r="G225" s="141">
        <v>6382.9557400000003</v>
      </c>
      <c r="H225" s="141">
        <v>40</v>
      </c>
      <c r="I225" s="141">
        <v>292.96186999999998</v>
      </c>
      <c r="J225" s="141">
        <v>1053.40951</v>
      </c>
      <c r="K225" s="141">
        <v>2363.10484</v>
      </c>
      <c r="L225" s="141">
        <v>4202.9293299999999</v>
      </c>
      <c r="M225" s="141">
        <v>5</v>
      </c>
      <c r="N225" s="141">
        <v>29</v>
      </c>
      <c r="O225" s="211">
        <f t="shared" ref="O225:O283" si="7">M225/(M225+N225)</f>
        <v>0.14705882352941177</v>
      </c>
      <c r="P225" s="610">
        <v>2363.10484</v>
      </c>
      <c r="Q225" s="141">
        <f t="shared" si="6"/>
        <v>347.51541764705883</v>
      </c>
    </row>
    <row r="226" spans="1:17" ht="21">
      <c r="A226" s="136" t="s">
        <v>1983</v>
      </c>
      <c r="B226" s="137" t="s">
        <v>1986</v>
      </c>
      <c r="C226" s="138" t="s">
        <v>690</v>
      </c>
      <c r="D226" s="138" t="s">
        <v>689</v>
      </c>
      <c r="E226" s="136" t="s">
        <v>1571</v>
      </c>
      <c r="F226" s="419">
        <v>43100</v>
      </c>
      <c r="G226" s="140">
        <v>6314.4570789999998</v>
      </c>
      <c r="H226" s="140">
        <v>16</v>
      </c>
      <c r="I226" s="140">
        <v>183.87926000000002</v>
      </c>
      <c r="J226" s="140">
        <v>565.54759999999999</v>
      </c>
      <c r="K226" s="140">
        <v>804.7216699999999</v>
      </c>
      <c r="L226" s="140">
        <v>1615.4376999999999</v>
      </c>
      <c r="M226" s="143" t="s">
        <v>189</v>
      </c>
      <c r="N226" s="143" t="s">
        <v>189</v>
      </c>
      <c r="P226" s="608">
        <v>804.7216699999999</v>
      </c>
      <c r="Q226" s="141">
        <f t="shared" ref="Q226:Q289" si="8">O226*P226</f>
        <v>0</v>
      </c>
    </row>
    <row r="227" spans="1:17">
      <c r="A227" s="138" t="s">
        <v>1985</v>
      </c>
      <c r="B227" s="135" t="s">
        <v>1988</v>
      </c>
      <c r="C227" s="136" t="s">
        <v>1095</v>
      </c>
      <c r="D227" s="136" t="s">
        <v>1448</v>
      </c>
      <c r="E227" s="138" t="s">
        <v>1571</v>
      </c>
      <c r="F227" s="420">
        <v>43100</v>
      </c>
      <c r="G227" s="141">
        <v>6311.3045300000003</v>
      </c>
      <c r="H227" s="141">
        <v>39</v>
      </c>
      <c r="I227" s="141">
        <v>13.695130000000001</v>
      </c>
      <c r="J227" s="141">
        <v>341.85520000000002</v>
      </c>
      <c r="K227" s="141">
        <v>1623.2451400000002</v>
      </c>
      <c r="L227" s="141">
        <v>2365.231679</v>
      </c>
      <c r="M227" s="142" t="s">
        <v>189</v>
      </c>
      <c r="N227" s="142" t="s">
        <v>189</v>
      </c>
      <c r="P227" s="610">
        <v>1623.2451400000002</v>
      </c>
      <c r="Q227" s="141">
        <f t="shared" si="8"/>
        <v>0</v>
      </c>
    </row>
    <row r="228" spans="1:17" ht="31.5">
      <c r="A228" s="136" t="s">
        <v>1987</v>
      </c>
      <c r="B228" s="137" t="s">
        <v>1990</v>
      </c>
      <c r="C228" s="138" t="s">
        <v>1294</v>
      </c>
      <c r="D228" s="138" t="s">
        <v>1266</v>
      </c>
      <c r="E228" s="136" t="s">
        <v>1571</v>
      </c>
      <c r="F228" s="419">
        <v>43100</v>
      </c>
      <c r="G228" s="140">
        <v>6279.6792100000002</v>
      </c>
      <c r="H228" s="143" t="s">
        <v>189</v>
      </c>
      <c r="I228" s="140">
        <v>33.754840000000002</v>
      </c>
      <c r="J228" s="140">
        <v>208.29649000000001</v>
      </c>
      <c r="K228" s="140">
        <v>1124.55575</v>
      </c>
      <c r="L228" s="140">
        <v>1656.4270100000001</v>
      </c>
      <c r="M228" s="140">
        <v>10</v>
      </c>
      <c r="N228" s="140">
        <v>7</v>
      </c>
      <c r="O228" s="211">
        <f t="shared" si="7"/>
        <v>0.58823529411764708</v>
      </c>
      <c r="P228" s="608">
        <v>1124.55575</v>
      </c>
      <c r="Q228" s="141">
        <f t="shared" si="8"/>
        <v>661.50338235294123</v>
      </c>
    </row>
    <row r="229" spans="1:17" ht="42">
      <c r="A229" s="138" t="s">
        <v>1989</v>
      </c>
      <c r="B229" s="135" t="s">
        <v>1992</v>
      </c>
      <c r="C229" s="136" t="s">
        <v>1108</v>
      </c>
      <c r="D229" s="136" t="s">
        <v>969</v>
      </c>
      <c r="E229" s="138" t="s">
        <v>1571</v>
      </c>
      <c r="F229" s="420">
        <v>43100</v>
      </c>
      <c r="G229" s="141">
        <v>6139.2171499999995</v>
      </c>
      <c r="H229" s="141">
        <v>19</v>
      </c>
      <c r="I229" s="141">
        <v>12.020520000000001</v>
      </c>
      <c r="J229" s="141">
        <v>38.064980000000006</v>
      </c>
      <c r="K229" s="141">
        <v>626.58994000000007</v>
      </c>
      <c r="L229" s="141">
        <v>762.45666900000003</v>
      </c>
      <c r="M229" s="141">
        <v>5</v>
      </c>
      <c r="N229" s="141">
        <v>29</v>
      </c>
      <c r="O229" s="211">
        <f t="shared" si="7"/>
        <v>0.14705882352941177</v>
      </c>
      <c r="P229" s="610">
        <v>626.58994000000007</v>
      </c>
      <c r="Q229" s="141">
        <f t="shared" si="8"/>
        <v>92.145579411764714</v>
      </c>
    </row>
    <row r="230" spans="1:17" ht="42">
      <c r="A230" s="136" t="s">
        <v>1991</v>
      </c>
      <c r="B230" s="137" t="s">
        <v>1994</v>
      </c>
      <c r="C230" s="138" t="s">
        <v>717</v>
      </c>
      <c r="D230" s="138" t="s">
        <v>716</v>
      </c>
      <c r="E230" s="136" t="s">
        <v>1571</v>
      </c>
      <c r="F230" s="419">
        <v>43100</v>
      </c>
      <c r="G230" s="140">
        <v>6083.6279999999997</v>
      </c>
      <c r="H230" s="140">
        <v>40</v>
      </c>
      <c r="I230" s="140"/>
      <c r="J230" s="140">
        <v>-1845.43</v>
      </c>
      <c r="K230" s="140">
        <v>2219.7910000000002</v>
      </c>
      <c r="L230" s="140">
        <v>666.94500000000005</v>
      </c>
      <c r="M230" s="143" t="s">
        <v>189</v>
      </c>
      <c r="N230" s="143" t="s">
        <v>189</v>
      </c>
      <c r="P230" s="608">
        <v>2219.7910000000002</v>
      </c>
      <c r="Q230" s="141">
        <f t="shared" si="8"/>
        <v>0</v>
      </c>
    </row>
    <row r="231" spans="1:17" ht="21">
      <c r="A231" s="138" t="s">
        <v>1993</v>
      </c>
      <c r="B231" s="135" t="s">
        <v>1996</v>
      </c>
      <c r="C231" s="136" t="s">
        <v>1463</v>
      </c>
      <c r="D231" s="136" t="s">
        <v>1461</v>
      </c>
      <c r="E231" s="138" t="s">
        <v>1571</v>
      </c>
      <c r="F231" s="420">
        <v>43100</v>
      </c>
      <c r="G231" s="141">
        <v>5912.207159999999</v>
      </c>
      <c r="H231" s="141">
        <v>34</v>
      </c>
      <c r="I231" s="141"/>
      <c r="J231" s="141">
        <v>112.46472</v>
      </c>
      <c r="K231" s="141">
        <v>1703.8088500000001</v>
      </c>
      <c r="L231" s="141">
        <v>1710.0697400000001</v>
      </c>
      <c r="M231" s="141">
        <v>5</v>
      </c>
      <c r="N231" s="141">
        <v>11</v>
      </c>
      <c r="O231" s="211">
        <f t="shared" si="7"/>
        <v>0.3125</v>
      </c>
      <c r="P231" s="610">
        <v>1703.8088500000001</v>
      </c>
      <c r="Q231" s="141">
        <f t="shared" si="8"/>
        <v>532.44026562500005</v>
      </c>
    </row>
    <row r="232" spans="1:17" ht="31.5">
      <c r="A232" s="136" t="s">
        <v>1995</v>
      </c>
      <c r="B232" s="137" t="s">
        <v>1998</v>
      </c>
      <c r="C232" s="138" t="s">
        <v>866</v>
      </c>
      <c r="D232" s="138" t="s">
        <v>811</v>
      </c>
      <c r="E232" s="136" t="s">
        <v>1571</v>
      </c>
      <c r="F232" s="419">
        <v>43100</v>
      </c>
      <c r="G232" s="140">
        <v>5909.7893899999999</v>
      </c>
      <c r="H232" s="140">
        <v>30</v>
      </c>
      <c r="I232" s="143" t="s">
        <v>189</v>
      </c>
      <c r="J232" s="140">
        <v>-3.8253700000000004</v>
      </c>
      <c r="K232" s="140">
        <v>1201.7048300000001</v>
      </c>
      <c r="L232" s="140">
        <v>1272.3294900000001</v>
      </c>
      <c r="M232" s="143" t="s">
        <v>189</v>
      </c>
      <c r="N232" s="143" t="s">
        <v>189</v>
      </c>
      <c r="P232" s="608">
        <v>1201.7048300000001</v>
      </c>
      <c r="Q232" s="141">
        <f t="shared" si="8"/>
        <v>0</v>
      </c>
    </row>
    <row r="233" spans="1:17" ht="21">
      <c r="A233" s="138" t="s">
        <v>1997</v>
      </c>
      <c r="B233" s="135" t="s">
        <v>2000</v>
      </c>
      <c r="C233" s="136" t="s">
        <v>1187</v>
      </c>
      <c r="D233" s="136" t="s">
        <v>1184</v>
      </c>
      <c r="E233" s="138" t="s">
        <v>1571</v>
      </c>
      <c r="F233" s="420">
        <v>43100</v>
      </c>
      <c r="G233" s="141">
        <v>5908.7033899999997</v>
      </c>
      <c r="H233" s="141">
        <v>20</v>
      </c>
      <c r="I233" s="141">
        <v>347.54073000000005</v>
      </c>
      <c r="J233" s="141">
        <v>989.97746000000006</v>
      </c>
      <c r="K233" s="141">
        <v>1435.71558</v>
      </c>
      <c r="L233" s="141">
        <v>2788.8746800000004</v>
      </c>
      <c r="M233" s="141">
        <v>17</v>
      </c>
      <c r="N233" s="141">
        <v>22</v>
      </c>
      <c r="O233" s="211">
        <f t="shared" si="7"/>
        <v>0.4358974358974359</v>
      </c>
      <c r="P233" s="610">
        <v>1435.71558</v>
      </c>
      <c r="Q233" s="141">
        <f t="shared" si="8"/>
        <v>625.82474000000002</v>
      </c>
    </row>
    <row r="234" spans="1:17" ht="42">
      <c r="A234" s="136" t="s">
        <v>1999</v>
      </c>
      <c r="B234" s="137" t="s">
        <v>2002</v>
      </c>
      <c r="C234" s="138" t="s">
        <v>1497</v>
      </c>
      <c r="D234" s="138" t="s">
        <v>1474</v>
      </c>
      <c r="E234" s="136" t="s">
        <v>1571</v>
      </c>
      <c r="F234" s="419">
        <v>43100</v>
      </c>
      <c r="G234" s="140">
        <v>5895.6850300000006</v>
      </c>
      <c r="H234" s="140">
        <v>32</v>
      </c>
      <c r="I234" s="140">
        <v>47.503480000000003</v>
      </c>
      <c r="J234" s="140">
        <v>188.05431999999999</v>
      </c>
      <c r="K234" s="140">
        <v>1385.0116900000003</v>
      </c>
      <c r="L234" s="140">
        <v>1652.9723800000002</v>
      </c>
      <c r="M234" s="140">
        <v>15.91</v>
      </c>
      <c r="N234" s="140">
        <v>11.219999999999999</v>
      </c>
      <c r="O234" s="211">
        <f t="shared" si="7"/>
        <v>0.58643568005897528</v>
      </c>
      <c r="P234" s="608">
        <v>1385.0116900000003</v>
      </c>
      <c r="Q234" s="141">
        <f t="shared" si="8"/>
        <v>812.2202723147808</v>
      </c>
    </row>
    <row r="235" spans="1:17">
      <c r="A235" s="138" t="s">
        <v>2001</v>
      </c>
      <c r="B235" s="135" t="s">
        <v>2004</v>
      </c>
      <c r="C235" s="136" t="s">
        <v>727</v>
      </c>
      <c r="D235" s="136" t="s">
        <v>726</v>
      </c>
      <c r="E235" s="138" t="s">
        <v>1571</v>
      </c>
      <c r="F235" s="420">
        <v>43100</v>
      </c>
      <c r="G235" s="141">
        <v>5891.1213799999996</v>
      </c>
      <c r="H235" s="142" t="s">
        <v>189</v>
      </c>
      <c r="I235" s="141">
        <v>116.64069000000001</v>
      </c>
      <c r="J235" s="141">
        <v>298.13177000000002</v>
      </c>
      <c r="K235" s="141">
        <v>3106.4962600000003</v>
      </c>
      <c r="L235" s="141">
        <v>3674.6214989999999</v>
      </c>
      <c r="M235" s="141">
        <v>3</v>
      </c>
      <c r="N235" s="141">
        <v>53</v>
      </c>
      <c r="O235" s="211">
        <f t="shared" si="7"/>
        <v>5.3571428571428568E-2</v>
      </c>
      <c r="P235" s="610">
        <v>3106.4962600000003</v>
      </c>
      <c r="Q235" s="141">
        <f t="shared" si="8"/>
        <v>166.4194425</v>
      </c>
    </row>
    <row r="236" spans="1:17">
      <c r="A236" s="136" t="s">
        <v>2003</v>
      </c>
      <c r="B236" s="137" t="s">
        <v>2006</v>
      </c>
      <c r="C236" s="138" t="s">
        <v>967</v>
      </c>
      <c r="D236" s="138" t="s">
        <v>811</v>
      </c>
      <c r="E236" s="136" t="s">
        <v>1571</v>
      </c>
      <c r="F236" s="419">
        <v>43100</v>
      </c>
      <c r="G236" s="140">
        <v>5887.7695400000002</v>
      </c>
      <c r="H236" s="140">
        <v>16</v>
      </c>
      <c r="I236" s="140">
        <v>139.11314000000002</v>
      </c>
      <c r="J236" s="140">
        <v>440.52495000000005</v>
      </c>
      <c r="K236" s="140">
        <v>1024.0085100000001</v>
      </c>
      <c r="L236" s="140">
        <v>1671.7918500000001</v>
      </c>
      <c r="M236" s="140">
        <v>2</v>
      </c>
      <c r="N236" s="140">
        <v>17</v>
      </c>
      <c r="O236" s="211">
        <f t="shared" si="7"/>
        <v>0.10526315789473684</v>
      </c>
      <c r="P236" s="608">
        <v>1024.0085100000001</v>
      </c>
      <c r="Q236" s="141">
        <f t="shared" si="8"/>
        <v>107.79036947368422</v>
      </c>
    </row>
    <row r="237" spans="1:17" ht="31.5">
      <c r="A237" s="138" t="s">
        <v>2005</v>
      </c>
      <c r="B237" s="135" t="s">
        <v>2008</v>
      </c>
      <c r="C237" s="136" t="s">
        <v>898</v>
      </c>
      <c r="D237" s="136" t="s">
        <v>811</v>
      </c>
      <c r="E237" s="138" t="s">
        <v>1571</v>
      </c>
      <c r="F237" s="420">
        <v>43100</v>
      </c>
      <c r="G237" s="141">
        <v>5841.0835099999995</v>
      </c>
      <c r="H237" s="141">
        <v>34</v>
      </c>
      <c r="I237" s="141">
        <v>135.81564000000003</v>
      </c>
      <c r="J237" s="141">
        <v>444.49799999999999</v>
      </c>
      <c r="K237" s="141">
        <v>1263.1958999999999</v>
      </c>
      <c r="L237" s="141">
        <v>1887.7480700000001</v>
      </c>
      <c r="M237" s="142" t="s">
        <v>189</v>
      </c>
      <c r="N237" s="142" t="s">
        <v>189</v>
      </c>
      <c r="P237" s="610">
        <v>1263.1958999999999</v>
      </c>
      <c r="Q237" s="141">
        <f t="shared" si="8"/>
        <v>0</v>
      </c>
    </row>
    <row r="238" spans="1:17" ht="42">
      <c r="A238" s="136" t="s">
        <v>2007</v>
      </c>
      <c r="B238" s="137" t="s">
        <v>2010</v>
      </c>
      <c r="C238" s="138" t="s">
        <v>1380</v>
      </c>
      <c r="D238" s="138" t="s">
        <v>1564</v>
      </c>
      <c r="E238" s="136" t="s">
        <v>1571</v>
      </c>
      <c r="F238" s="419">
        <v>43100</v>
      </c>
      <c r="G238" s="140">
        <v>5787.3316599999989</v>
      </c>
      <c r="H238" s="140">
        <v>27</v>
      </c>
      <c r="I238" s="140">
        <v>12.706250000000001</v>
      </c>
      <c r="J238" s="140">
        <v>67.325229999999991</v>
      </c>
      <c r="K238" s="140">
        <v>793.43263000000002</v>
      </c>
      <c r="L238" s="140">
        <v>918.44602000000009</v>
      </c>
      <c r="M238" s="140">
        <v>28</v>
      </c>
      <c r="N238" s="140">
        <v>26</v>
      </c>
      <c r="O238" s="211">
        <f t="shared" si="7"/>
        <v>0.51851851851851849</v>
      </c>
      <c r="P238" s="608">
        <v>793.43263000000002</v>
      </c>
      <c r="Q238" s="141">
        <f t="shared" si="8"/>
        <v>411.40951185185185</v>
      </c>
    </row>
    <row r="239" spans="1:17" ht="21">
      <c r="A239" s="138" t="s">
        <v>2009</v>
      </c>
      <c r="B239" s="421" t="s">
        <v>2012</v>
      </c>
      <c r="C239" s="136" t="s">
        <v>790</v>
      </c>
      <c r="D239" s="136" t="s">
        <v>789</v>
      </c>
      <c r="E239" s="138" t="s">
        <v>1571</v>
      </c>
      <c r="F239" s="420">
        <v>43100</v>
      </c>
      <c r="G239" s="141">
        <v>5770.1357700000008</v>
      </c>
      <c r="H239" s="141">
        <v>49</v>
      </c>
      <c r="I239" s="141">
        <v>29.314960000000003</v>
      </c>
      <c r="J239" s="141">
        <v>62.303159999999998</v>
      </c>
      <c r="K239" s="141">
        <v>1807.9873200000002</v>
      </c>
      <c r="L239" s="141">
        <v>2093.13357</v>
      </c>
      <c r="M239" s="142" t="s">
        <v>189</v>
      </c>
      <c r="N239" s="142" t="s">
        <v>189</v>
      </c>
      <c r="P239" s="610">
        <v>1807.9873200000002</v>
      </c>
      <c r="Q239" s="141">
        <f t="shared" si="8"/>
        <v>0</v>
      </c>
    </row>
    <row r="240" spans="1:17" ht="21">
      <c r="A240" s="136" t="s">
        <v>2011</v>
      </c>
      <c r="B240" s="137" t="s">
        <v>2014</v>
      </c>
      <c r="C240" s="138" t="s">
        <v>707</v>
      </c>
      <c r="D240" s="138" t="s">
        <v>705</v>
      </c>
      <c r="E240" s="136" t="s">
        <v>1571</v>
      </c>
      <c r="F240" s="419">
        <v>42369</v>
      </c>
      <c r="G240" s="140">
        <v>5715.2150000000001</v>
      </c>
      <c r="H240" s="140">
        <v>19</v>
      </c>
      <c r="I240" s="140">
        <v>6.4990000000000006</v>
      </c>
      <c r="J240" s="140">
        <v>10.999000000000001</v>
      </c>
      <c r="K240" s="140">
        <v>613.29300000000001</v>
      </c>
      <c r="L240" s="140">
        <v>760.12400000000002</v>
      </c>
      <c r="M240" s="140">
        <v>5</v>
      </c>
      <c r="N240" s="140">
        <v>33</v>
      </c>
      <c r="O240" s="211">
        <f t="shared" si="7"/>
        <v>0.13157894736842105</v>
      </c>
      <c r="P240" s="608">
        <v>613.29300000000001</v>
      </c>
      <c r="Q240" s="141">
        <f t="shared" si="8"/>
        <v>80.696447368421047</v>
      </c>
    </row>
    <row r="241" spans="1:17" ht="42">
      <c r="A241" s="138" t="s">
        <v>2013</v>
      </c>
      <c r="B241" s="135" t="s">
        <v>2016</v>
      </c>
      <c r="C241" s="136" t="s">
        <v>826</v>
      </c>
      <c r="D241" s="136" t="s">
        <v>811</v>
      </c>
      <c r="E241" s="138" t="s">
        <v>1571</v>
      </c>
      <c r="F241" s="420">
        <v>42369</v>
      </c>
      <c r="G241" s="141">
        <v>5696.4809599999999</v>
      </c>
      <c r="H241" s="141">
        <v>11</v>
      </c>
      <c r="I241" s="141">
        <v>86.552630000000008</v>
      </c>
      <c r="J241" s="141">
        <v>362.67444</v>
      </c>
      <c r="K241" s="141">
        <v>611.18235000000016</v>
      </c>
      <c r="L241" s="141">
        <v>1126.4952790000002</v>
      </c>
      <c r="M241" s="142" t="s">
        <v>189</v>
      </c>
      <c r="N241" s="142" t="s">
        <v>189</v>
      </c>
      <c r="P241" s="610">
        <v>611.18235000000016</v>
      </c>
      <c r="Q241" s="141">
        <f t="shared" si="8"/>
        <v>0</v>
      </c>
    </row>
    <row r="242" spans="1:17" ht="21">
      <c r="A242" s="136" t="s">
        <v>2015</v>
      </c>
      <c r="B242" s="139" t="s">
        <v>2018</v>
      </c>
      <c r="C242" s="138" t="s">
        <v>786</v>
      </c>
      <c r="D242" s="138" t="s">
        <v>785</v>
      </c>
      <c r="E242" s="136" t="s">
        <v>1571</v>
      </c>
      <c r="F242" s="419">
        <v>43100</v>
      </c>
      <c r="G242" s="140">
        <v>5684.3279390000007</v>
      </c>
      <c r="H242" s="140">
        <v>54</v>
      </c>
      <c r="I242" s="140">
        <v>74.059759999999997</v>
      </c>
      <c r="J242" s="140">
        <v>230.16269</v>
      </c>
      <c r="K242" s="140">
        <v>1553.0065400000001</v>
      </c>
      <c r="L242" s="140">
        <v>2064.4476900000004</v>
      </c>
      <c r="M242" s="143" t="s">
        <v>189</v>
      </c>
      <c r="N242" s="143" t="s">
        <v>189</v>
      </c>
      <c r="P242" s="608">
        <v>1553.0065400000001</v>
      </c>
      <c r="Q242" s="141">
        <f t="shared" si="8"/>
        <v>0</v>
      </c>
    </row>
    <row r="243" spans="1:17" ht="52.5">
      <c r="A243" s="138" t="s">
        <v>2017</v>
      </c>
      <c r="B243" s="421" t="s">
        <v>2020</v>
      </c>
      <c r="C243" s="136" t="s">
        <v>1220</v>
      </c>
      <c r="D243" s="136" t="s">
        <v>1221</v>
      </c>
      <c r="E243" s="138" t="s">
        <v>1571</v>
      </c>
      <c r="F243" s="420">
        <v>42369</v>
      </c>
      <c r="G243" s="141">
        <v>5682.5512600000002</v>
      </c>
      <c r="H243" s="141">
        <v>40</v>
      </c>
      <c r="I243" s="141">
        <v>75.62127000000001</v>
      </c>
      <c r="J243" s="141">
        <v>421.16358000000002</v>
      </c>
      <c r="K243" s="141">
        <v>1598.5902100000001</v>
      </c>
      <c r="L243" s="141">
        <v>2269.4758699999998</v>
      </c>
      <c r="M243" s="142" t="s">
        <v>189</v>
      </c>
      <c r="N243" s="142" t="s">
        <v>189</v>
      </c>
      <c r="P243" s="610">
        <v>1598.5902100000001</v>
      </c>
      <c r="Q243" s="141">
        <f t="shared" si="8"/>
        <v>0</v>
      </c>
    </row>
    <row r="244" spans="1:17" ht="21">
      <c r="A244" s="136" t="s">
        <v>2019</v>
      </c>
      <c r="B244" s="137" t="s">
        <v>2022</v>
      </c>
      <c r="C244" s="138" t="s">
        <v>1100</v>
      </c>
      <c r="D244" s="138" t="s">
        <v>969</v>
      </c>
      <c r="E244" s="136" t="s">
        <v>1571</v>
      </c>
      <c r="F244" s="419">
        <v>42369</v>
      </c>
      <c r="G244" s="140">
        <v>5660.2150000000001</v>
      </c>
      <c r="H244" s="140">
        <v>37</v>
      </c>
      <c r="I244" s="140"/>
      <c r="J244" s="140">
        <v>-4.0289999999999999</v>
      </c>
      <c r="K244" s="140">
        <v>1768.211</v>
      </c>
      <c r="L244" s="140">
        <v>1877.2250000000001</v>
      </c>
      <c r="M244" s="143" t="s">
        <v>189</v>
      </c>
      <c r="N244" s="143" t="s">
        <v>189</v>
      </c>
      <c r="P244" s="608">
        <v>1768.211</v>
      </c>
      <c r="Q244" s="141">
        <f t="shared" si="8"/>
        <v>0</v>
      </c>
    </row>
    <row r="245" spans="1:17" ht="21">
      <c r="A245" s="138" t="s">
        <v>2021</v>
      </c>
      <c r="B245" s="135" t="s">
        <v>2024</v>
      </c>
      <c r="C245" s="136" t="s">
        <v>1026</v>
      </c>
      <c r="D245" s="136" t="s">
        <v>1027</v>
      </c>
      <c r="E245" s="138" t="s">
        <v>1571</v>
      </c>
      <c r="F245" s="420">
        <v>43100</v>
      </c>
      <c r="G245" s="141">
        <v>5651.7138099999993</v>
      </c>
      <c r="H245" s="141">
        <v>42</v>
      </c>
      <c r="I245" s="141"/>
      <c r="J245" s="141">
        <v>299.40549000000004</v>
      </c>
      <c r="K245" s="141">
        <v>1634.2840900000001</v>
      </c>
      <c r="L245" s="141">
        <v>2033.07746</v>
      </c>
      <c r="M245" s="141">
        <v>19</v>
      </c>
      <c r="N245" s="141">
        <v>30</v>
      </c>
      <c r="O245" s="211">
        <f t="shared" si="7"/>
        <v>0.38775510204081631</v>
      </c>
      <c r="P245" s="610">
        <v>1634.2840900000001</v>
      </c>
      <c r="Q245" s="141">
        <f t="shared" si="8"/>
        <v>633.70199408163262</v>
      </c>
    </row>
    <row r="246" spans="1:17" ht="21">
      <c r="A246" s="136" t="s">
        <v>2023</v>
      </c>
      <c r="B246" s="137" t="s">
        <v>2026</v>
      </c>
      <c r="C246" s="138" t="s">
        <v>664</v>
      </c>
      <c r="D246" s="138" t="s">
        <v>1595</v>
      </c>
      <c r="E246" s="136" t="s">
        <v>1571</v>
      </c>
      <c r="F246" s="419">
        <v>43100</v>
      </c>
      <c r="G246" s="140">
        <v>5622.0902500000002</v>
      </c>
      <c r="H246" s="140">
        <v>27</v>
      </c>
      <c r="I246" s="140">
        <v>30.749169999999999</v>
      </c>
      <c r="J246" s="140">
        <v>142.46457000000001</v>
      </c>
      <c r="K246" s="140">
        <v>1109.8678500000001</v>
      </c>
      <c r="L246" s="140">
        <v>1493.6535900000001</v>
      </c>
      <c r="M246" s="140">
        <v>8</v>
      </c>
      <c r="N246" s="140">
        <v>51</v>
      </c>
      <c r="O246" s="211">
        <f t="shared" si="7"/>
        <v>0.13559322033898305</v>
      </c>
      <c r="P246" s="608">
        <v>1109.8678500000001</v>
      </c>
      <c r="Q246" s="141">
        <f t="shared" si="8"/>
        <v>150.49055593220339</v>
      </c>
    </row>
    <row r="247" spans="1:17" ht="42">
      <c r="A247" s="138" t="s">
        <v>2025</v>
      </c>
      <c r="B247" s="135" t="s">
        <v>2028</v>
      </c>
      <c r="C247" s="136" t="s">
        <v>1217</v>
      </c>
      <c r="D247" s="136" t="s">
        <v>1215</v>
      </c>
      <c r="E247" s="138" t="s">
        <v>1571</v>
      </c>
      <c r="F247" s="420">
        <v>43100</v>
      </c>
      <c r="G247" s="141">
        <v>5618.7414800000006</v>
      </c>
      <c r="H247" s="141">
        <v>7</v>
      </c>
      <c r="I247" s="141">
        <v>40.645480000000006</v>
      </c>
      <c r="J247" s="141">
        <v>102.22413</v>
      </c>
      <c r="K247" s="141">
        <v>354.33839</v>
      </c>
      <c r="L247" s="141">
        <v>503.65480000000002</v>
      </c>
      <c r="M247" s="141">
        <v>18</v>
      </c>
      <c r="N247" s="141">
        <v>29</v>
      </c>
      <c r="O247" s="211">
        <f t="shared" si="7"/>
        <v>0.38297872340425532</v>
      </c>
      <c r="P247" s="610">
        <v>354.33839</v>
      </c>
      <c r="Q247" s="141">
        <f t="shared" si="8"/>
        <v>135.70406425531914</v>
      </c>
    </row>
    <row r="248" spans="1:17" ht="21">
      <c r="A248" s="136" t="s">
        <v>2027</v>
      </c>
      <c r="B248" s="137" t="s">
        <v>2030</v>
      </c>
      <c r="C248" s="138" t="s">
        <v>1525</v>
      </c>
      <c r="D248" s="138" t="s">
        <v>1625</v>
      </c>
      <c r="E248" s="136" t="s">
        <v>1571</v>
      </c>
      <c r="F248" s="419">
        <v>43100</v>
      </c>
      <c r="G248" s="140">
        <v>5595.4816300000002</v>
      </c>
      <c r="H248" s="140">
        <v>31</v>
      </c>
      <c r="I248" s="140"/>
      <c r="J248" s="140">
        <v>21.206080000000004</v>
      </c>
      <c r="K248" s="140">
        <v>1087.33421</v>
      </c>
      <c r="L248" s="140">
        <v>1308.2168800000002</v>
      </c>
      <c r="M248" s="140">
        <v>4</v>
      </c>
      <c r="N248" s="140">
        <v>45</v>
      </c>
      <c r="O248" s="211">
        <f t="shared" si="7"/>
        <v>8.1632653061224483E-2</v>
      </c>
      <c r="P248" s="608">
        <v>1087.33421</v>
      </c>
      <c r="Q248" s="141">
        <f t="shared" si="8"/>
        <v>88.761976326530601</v>
      </c>
    </row>
    <row r="249" spans="1:17" ht="21">
      <c r="A249" s="138" t="s">
        <v>2029</v>
      </c>
      <c r="B249" s="421" t="s">
        <v>2032</v>
      </c>
      <c r="C249" s="136" t="s">
        <v>661</v>
      </c>
      <c r="D249" s="136" t="s">
        <v>1622</v>
      </c>
      <c r="E249" s="138" t="s">
        <v>1571</v>
      </c>
      <c r="F249" s="420">
        <v>42916</v>
      </c>
      <c r="G249" s="141">
        <v>5508.1646489999994</v>
      </c>
      <c r="H249" s="141">
        <v>49</v>
      </c>
      <c r="I249" s="141">
        <v>156.49126000000001</v>
      </c>
      <c r="J249" s="141">
        <v>537.6788600000001</v>
      </c>
      <c r="K249" s="141">
        <v>3445.0182500000001</v>
      </c>
      <c r="L249" s="141">
        <v>4369.5816800000002</v>
      </c>
      <c r="M249" s="142" t="s">
        <v>189</v>
      </c>
      <c r="N249" s="142" t="s">
        <v>189</v>
      </c>
      <c r="P249" s="610">
        <v>3445.0182500000001</v>
      </c>
      <c r="Q249" s="141">
        <f t="shared" si="8"/>
        <v>0</v>
      </c>
    </row>
    <row r="250" spans="1:17" ht="31.5">
      <c r="A250" s="136" t="s">
        <v>2031</v>
      </c>
      <c r="B250" s="137" t="s">
        <v>2034</v>
      </c>
      <c r="C250" s="138" t="s">
        <v>1536</v>
      </c>
      <c r="D250" s="138" t="s">
        <v>1279</v>
      </c>
      <c r="E250" s="136" t="s">
        <v>1571</v>
      </c>
      <c r="F250" s="419">
        <v>42735</v>
      </c>
      <c r="G250" s="140">
        <v>5491.558970000001</v>
      </c>
      <c r="H250" s="140">
        <v>59</v>
      </c>
      <c r="I250" s="140"/>
      <c r="J250" s="140">
        <v>99.048670000000016</v>
      </c>
      <c r="K250" s="140">
        <v>1553.9377099999999</v>
      </c>
      <c r="L250" s="140">
        <v>1968.2745090000001</v>
      </c>
      <c r="M250" s="143" t="s">
        <v>189</v>
      </c>
      <c r="N250" s="143" t="s">
        <v>189</v>
      </c>
      <c r="P250" s="608">
        <v>1553.9377099999999</v>
      </c>
      <c r="Q250" s="141">
        <f t="shared" si="8"/>
        <v>0</v>
      </c>
    </row>
    <row r="251" spans="1:17" ht="21">
      <c r="A251" s="138" t="s">
        <v>2033</v>
      </c>
      <c r="B251" s="135" t="s">
        <v>2036</v>
      </c>
      <c r="C251" s="136" t="s">
        <v>1496</v>
      </c>
      <c r="D251" s="136" t="s">
        <v>1474</v>
      </c>
      <c r="E251" s="138" t="s">
        <v>1571</v>
      </c>
      <c r="F251" s="420">
        <v>43100</v>
      </c>
      <c r="G251" s="141">
        <v>5447.1387100000002</v>
      </c>
      <c r="H251" s="141">
        <v>47</v>
      </c>
      <c r="I251" s="141">
        <v>25.727229999999999</v>
      </c>
      <c r="J251" s="141">
        <v>190.02207000000001</v>
      </c>
      <c r="K251" s="141">
        <v>1887.1669199999999</v>
      </c>
      <c r="L251" s="141">
        <v>2527.8981490000001</v>
      </c>
      <c r="M251" s="141">
        <v>7</v>
      </c>
      <c r="N251" s="141">
        <v>27</v>
      </c>
      <c r="O251" s="211">
        <f t="shared" si="7"/>
        <v>0.20588235294117646</v>
      </c>
      <c r="P251" s="610">
        <v>1887.1669199999999</v>
      </c>
      <c r="Q251" s="141">
        <f t="shared" si="8"/>
        <v>388.53436588235292</v>
      </c>
    </row>
    <row r="252" spans="1:17" ht="31.5">
      <c r="A252" s="136" t="s">
        <v>2035</v>
      </c>
      <c r="B252" s="137" t="s">
        <v>2038</v>
      </c>
      <c r="C252" s="138" t="s">
        <v>663</v>
      </c>
      <c r="D252" s="138" t="s">
        <v>1595</v>
      </c>
      <c r="E252" s="136" t="s">
        <v>1571</v>
      </c>
      <c r="F252" s="419">
        <v>43100</v>
      </c>
      <c r="G252" s="140">
        <v>5411.8825200000001</v>
      </c>
      <c r="H252" s="140">
        <v>55</v>
      </c>
      <c r="I252" s="140"/>
      <c r="J252" s="140">
        <v>-25.236250000000002</v>
      </c>
      <c r="K252" s="140">
        <v>1939.7357</v>
      </c>
      <c r="L252" s="140">
        <v>2076.4500700000003</v>
      </c>
      <c r="M252" s="140">
        <v>3</v>
      </c>
      <c r="N252" s="140">
        <v>18</v>
      </c>
      <c r="O252" s="211">
        <f t="shared" si="7"/>
        <v>0.14285714285714285</v>
      </c>
      <c r="P252" s="608">
        <v>1939.7357</v>
      </c>
      <c r="Q252" s="141">
        <f t="shared" si="8"/>
        <v>277.10509999999999</v>
      </c>
    </row>
    <row r="253" spans="1:17" ht="21">
      <c r="A253" s="138" t="s">
        <v>2037</v>
      </c>
      <c r="B253" s="135" t="s">
        <v>2040</v>
      </c>
      <c r="C253" s="136" t="s">
        <v>773</v>
      </c>
      <c r="D253" s="136" t="s">
        <v>774</v>
      </c>
      <c r="E253" s="138" t="s">
        <v>1571</v>
      </c>
      <c r="F253" s="420">
        <v>43100</v>
      </c>
      <c r="G253" s="141">
        <v>5398.5636499999991</v>
      </c>
      <c r="H253" s="141">
        <v>31</v>
      </c>
      <c r="I253" s="141">
        <v>29.945940000000004</v>
      </c>
      <c r="J253" s="141">
        <v>199.35719</v>
      </c>
      <c r="K253" s="141">
        <v>1369.4497699999999</v>
      </c>
      <c r="L253" s="141">
        <v>1755.7617590000002</v>
      </c>
      <c r="M253" s="142" t="s">
        <v>189</v>
      </c>
      <c r="N253" s="142" t="s">
        <v>189</v>
      </c>
      <c r="P253" s="610">
        <v>1369.4497699999999</v>
      </c>
      <c r="Q253" s="141">
        <f t="shared" si="8"/>
        <v>0</v>
      </c>
    </row>
    <row r="254" spans="1:17">
      <c r="A254" s="136" t="s">
        <v>2039</v>
      </c>
      <c r="B254" s="137" t="s">
        <v>2042</v>
      </c>
      <c r="C254" s="138" t="s">
        <v>1541</v>
      </c>
      <c r="D254" s="138" t="s">
        <v>1279</v>
      </c>
      <c r="E254" s="136" t="s">
        <v>1571</v>
      </c>
      <c r="F254" s="419">
        <v>43100</v>
      </c>
      <c r="G254" s="140">
        <v>5351.8644000000004</v>
      </c>
      <c r="H254" s="140">
        <v>57</v>
      </c>
      <c r="I254" s="140">
        <v>49.44014</v>
      </c>
      <c r="J254" s="140">
        <v>-2244.1809600000001</v>
      </c>
      <c r="K254" s="140">
        <v>2096.7370800000003</v>
      </c>
      <c r="L254" s="140">
        <v>146.73161000000002</v>
      </c>
      <c r="M254" s="143" t="s">
        <v>189</v>
      </c>
      <c r="N254" s="143" t="s">
        <v>189</v>
      </c>
      <c r="P254" s="608">
        <v>2096.7370800000003</v>
      </c>
      <c r="Q254" s="141">
        <f t="shared" si="8"/>
        <v>0</v>
      </c>
    </row>
    <row r="255" spans="1:17" ht="63">
      <c r="A255" s="138" t="s">
        <v>2041</v>
      </c>
      <c r="B255" s="135" t="s">
        <v>2044</v>
      </c>
      <c r="C255" s="136" t="s">
        <v>1553</v>
      </c>
      <c r="D255" s="136" t="s">
        <v>1279</v>
      </c>
      <c r="E255" s="138" t="s">
        <v>1571</v>
      </c>
      <c r="F255" s="420">
        <v>43100</v>
      </c>
      <c r="G255" s="141">
        <v>5339.6080000000002</v>
      </c>
      <c r="H255" s="141">
        <v>33</v>
      </c>
      <c r="I255" s="141">
        <v>13.146000000000001</v>
      </c>
      <c r="J255" s="141">
        <v>40.032000000000004</v>
      </c>
      <c r="K255" s="141">
        <v>1144.9000000000001</v>
      </c>
      <c r="L255" s="141">
        <v>1391.251</v>
      </c>
      <c r="M255" s="142" t="s">
        <v>189</v>
      </c>
      <c r="N255" s="142" t="s">
        <v>189</v>
      </c>
      <c r="P255" s="610">
        <v>1144.9000000000001</v>
      </c>
      <c r="Q255" s="141">
        <f t="shared" si="8"/>
        <v>0</v>
      </c>
    </row>
    <row r="256" spans="1:17" ht="21">
      <c r="A256" s="136" t="s">
        <v>2043</v>
      </c>
      <c r="B256" s="137" t="s">
        <v>2046</v>
      </c>
      <c r="C256" s="138" t="s">
        <v>642</v>
      </c>
      <c r="D256" s="138" t="s">
        <v>641</v>
      </c>
      <c r="E256" s="136" t="s">
        <v>1571</v>
      </c>
      <c r="F256" s="419">
        <v>43100</v>
      </c>
      <c r="G256" s="140">
        <v>5318.7089999999998</v>
      </c>
      <c r="H256" s="140">
        <v>20</v>
      </c>
      <c r="I256" s="143" t="s">
        <v>189</v>
      </c>
      <c r="J256" s="140">
        <v>500.09500000000003</v>
      </c>
      <c r="K256" s="140">
        <v>1288.991</v>
      </c>
      <c r="L256" s="140">
        <v>2569.4259999999999</v>
      </c>
      <c r="M256" s="143" t="s">
        <v>189</v>
      </c>
      <c r="N256" s="143" t="s">
        <v>189</v>
      </c>
      <c r="P256" s="608">
        <v>1288.991</v>
      </c>
      <c r="Q256" s="141">
        <f t="shared" si="8"/>
        <v>0</v>
      </c>
    </row>
    <row r="257" spans="1:17" ht="42">
      <c r="A257" s="138" t="s">
        <v>2045</v>
      </c>
      <c r="B257" s="135" t="s">
        <v>2048</v>
      </c>
      <c r="C257" s="136" t="s">
        <v>985</v>
      </c>
      <c r="D257" s="136" t="s">
        <v>975</v>
      </c>
      <c r="E257" s="138" t="s">
        <v>1571</v>
      </c>
      <c r="F257" s="420">
        <v>43100</v>
      </c>
      <c r="G257" s="141">
        <v>5279.4241000000002</v>
      </c>
      <c r="H257" s="141">
        <v>48</v>
      </c>
      <c r="I257" s="141"/>
      <c r="J257" s="141">
        <v>129.34181000000001</v>
      </c>
      <c r="K257" s="141">
        <v>1697.5639900000001</v>
      </c>
      <c r="L257" s="141">
        <v>2974.7285899999997</v>
      </c>
      <c r="M257" s="142" t="s">
        <v>189</v>
      </c>
      <c r="N257" s="142" t="s">
        <v>189</v>
      </c>
      <c r="P257" s="610">
        <v>1697.5639900000001</v>
      </c>
      <c r="Q257" s="141">
        <f t="shared" si="8"/>
        <v>0</v>
      </c>
    </row>
    <row r="258" spans="1:17" ht="21">
      <c r="A258" s="136" t="s">
        <v>2047</v>
      </c>
      <c r="B258" s="137" t="s">
        <v>2050</v>
      </c>
      <c r="C258" s="138" t="s">
        <v>1520</v>
      </c>
      <c r="D258" s="138" t="s">
        <v>1501</v>
      </c>
      <c r="E258" s="136" t="s">
        <v>1571</v>
      </c>
      <c r="F258" s="419">
        <v>43100</v>
      </c>
      <c r="G258" s="140">
        <v>5279.3788400000003</v>
      </c>
      <c r="H258" s="140">
        <v>20</v>
      </c>
      <c r="I258" s="143" t="s">
        <v>189</v>
      </c>
      <c r="J258" s="140">
        <v>-98.855040000000002</v>
      </c>
      <c r="K258" s="140">
        <v>890.43034000000011</v>
      </c>
      <c r="L258" s="140">
        <v>963.54091900000003</v>
      </c>
      <c r="M258" s="143" t="s">
        <v>189</v>
      </c>
      <c r="N258" s="143" t="s">
        <v>189</v>
      </c>
      <c r="P258" s="608">
        <v>890.43034000000011</v>
      </c>
      <c r="Q258" s="141">
        <f t="shared" si="8"/>
        <v>0</v>
      </c>
    </row>
    <row r="259" spans="1:17" ht="42">
      <c r="A259" s="138" t="s">
        <v>2049</v>
      </c>
      <c r="B259" s="135" t="s">
        <v>2052</v>
      </c>
      <c r="C259" s="136" t="s">
        <v>649</v>
      </c>
      <c r="D259" s="136" t="s">
        <v>1622</v>
      </c>
      <c r="E259" s="138" t="s">
        <v>1571</v>
      </c>
      <c r="F259" s="420">
        <v>43100</v>
      </c>
      <c r="G259" s="141">
        <v>5267.1611199999988</v>
      </c>
      <c r="H259" s="141">
        <v>27</v>
      </c>
      <c r="I259" s="141">
        <v>47.637659999999997</v>
      </c>
      <c r="J259" s="141">
        <v>99.294020000000003</v>
      </c>
      <c r="K259" s="141">
        <v>1028.2850900000001</v>
      </c>
      <c r="L259" s="141">
        <v>1516.9420300000002</v>
      </c>
      <c r="M259" s="142" t="s">
        <v>189</v>
      </c>
      <c r="N259" s="142" t="s">
        <v>189</v>
      </c>
      <c r="P259" s="610">
        <v>1028.2850900000001</v>
      </c>
      <c r="Q259" s="141">
        <f t="shared" si="8"/>
        <v>0</v>
      </c>
    </row>
    <row r="260" spans="1:17">
      <c r="A260" s="136" t="s">
        <v>2051</v>
      </c>
      <c r="B260" s="137" t="s">
        <v>2054</v>
      </c>
      <c r="C260" s="138" t="s">
        <v>619</v>
      </c>
      <c r="D260" s="138" t="s">
        <v>596</v>
      </c>
      <c r="E260" s="136" t="s">
        <v>1571</v>
      </c>
      <c r="F260" s="419">
        <v>43100</v>
      </c>
      <c r="G260" s="140">
        <v>5265.4525999999996</v>
      </c>
      <c r="H260" s="140">
        <v>72</v>
      </c>
      <c r="I260" s="140">
        <v>51.486950000000007</v>
      </c>
      <c r="J260" s="140">
        <v>195.39823000000001</v>
      </c>
      <c r="K260" s="140">
        <v>3686.9570800000001</v>
      </c>
      <c r="L260" s="140">
        <v>3980.6898299999998</v>
      </c>
      <c r="M260" s="143" t="s">
        <v>189</v>
      </c>
      <c r="N260" s="143" t="s">
        <v>189</v>
      </c>
      <c r="P260" s="608">
        <v>3686.9570800000001</v>
      </c>
      <c r="Q260" s="141">
        <f t="shared" si="8"/>
        <v>0</v>
      </c>
    </row>
    <row r="261" spans="1:17">
      <c r="A261" s="138" t="s">
        <v>2053</v>
      </c>
      <c r="B261" s="135" t="s">
        <v>2056</v>
      </c>
      <c r="C261" s="136" t="s">
        <v>718</v>
      </c>
      <c r="D261" s="136" t="s">
        <v>719</v>
      </c>
      <c r="E261" s="138" t="s">
        <v>1571</v>
      </c>
      <c r="F261" s="420">
        <v>43100</v>
      </c>
      <c r="G261" s="141">
        <v>5211.6780499999995</v>
      </c>
      <c r="H261" s="141">
        <v>21</v>
      </c>
      <c r="I261" s="141">
        <v>36.905229999999996</v>
      </c>
      <c r="J261" s="141">
        <v>-97.609409999999997</v>
      </c>
      <c r="K261" s="141">
        <v>1000.6631699999999</v>
      </c>
      <c r="L261" s="141">
        <v>1114.3295890000002</v>
      </c>
      <c r="M261" s="141">
        <v>3</v>
      </c>
      <c r="N261" s="141">
        <v>21</v>
      </c>
      <c r="O261" s="211">
        <f t="shared" si="7"/>
        <v>0.125</v>
      </c>
      <c r="P261" s="610">
        <v>1000.6631699999999</v>
      </c>
      <c r="Q261" s="141">
        <f t="shared" si="8"/>
        <v>125.08289624999999</v>
      </c>
    </row>
    <row r="262" spans="1:17" ht="21">
      <c r="A262" s="136" t="s">
        <v>2055</v>
      </c>
      <c r="B262" s="139" t="s">
        <v>2058</v>
      </c>
      <c r="C262" s="138" t="s">
        <v>1291</v>
      </c>
      <c r="D262" s="138" t="s">
        <v>1266</v>
      </c>
      <c r="E262" s="136" t="s">
        <v>1571</v>
      </c>
      <c r="F262" s="419">
        <v>43100</v>
      </c>
      <c r="G262" s="140">
        <v>5178.9470099999999</v>
      </c>
      <c r="H262" s="140">
        <v>42</v>
      </c>
      <c r="I262" s="140">
        <v>15.556040000000001</v>
      </c>
      <c r="J262" s="140">
        <v>262.2928</v>
      </c>
      <c r="K262" s="140">
        <v>1562.8727800000001</v>
      </c>
      <c r="L262" s="140">
        <v>2300.0847000000003</v>
      </c>
      <c r="M262" s="143" t="s">
        <v>189</v>
      </c>
      <c r="N262" s="143" t="s">
        <v>189</v>
      </c>
      <c r="P262" s="608">
        <v>1562.8727800000001</v>
      </c>
      <c r="Q262" s="141">
        <f t="shared" si="8"/>
        <v>0</v>
      </c>
    </row>
    <row r="263" spans="1:17">
      <c r="A263" s="138" t="s">
        <v>2057</v>
      </c>
      <c r="B263" s="135" t="s">
        <v>2060</v>
      </c>
      <c r="C263" s="136" t="s">
        <v>1056</v>
      </c>
      <c r="D263" s="136" t="s">
        <v>969</v>
      </c>
      <c r="E263" s="138" t="s">
        <v>1571</v>
      </c>
      <c r="F263" s="420">
        <v>42004</v>
      </c>
      <c r="G263" s="141">
        <v>5177.9518599999992</v>
      </c>
      <c r="H263" s="141">
        <v>19</v>
      </c>
      <c r="I263" s="141">
        <v>149.84249</v>
      </c>
      <c r="J263" s="141">
        <v>395.70684999999997</v>
      </c>
      <c r="K263" s="141">
        <v>789.99260000000004</v>
      </c>
      <c r="L263" s="141">
        <v>1442.42048</v>
      </c>
      <c r="M263" s="142" t="s">
        <v>189</v>
      </c>
      <c r="N263" s="142" t="s">
        <v>189</v>
      </c>
      <c r="P263" s="610">
        <v>789.99260000000004</v>
      </c>
      <c r="Q263" s="141">
        <f t="shared" si="8"/>
        <v>0</v>
      </c>
    </row>
    <row r="264" spans="1:17" ht="31.5">
      <c r="A264" s="136" t="s">
        <v>2059</v>
      </c>
      <c r="B264" s="137" t="s">
        <v>2062</v>
      </c>
      <c r="C264" s="138" t="s">
        <v>750</v>
      </c>
      <c r="D264" s="138" t="s">
        <v>2063</v>
      </c>
      <c r="E264" s="136" t="s">
        <v>1571</v>
      </c>
      <c r="F264" s="419">
        <v>43100</v>
      </c>
      <c r="G264" s="140">
        <v>5134.3714800000007</v>
      </c>
      <c r="H264" s="140">
        <v>21</v>
      </c>
      <c r="I264" s="140">
        <v>77.76718000000001</v>
      </c>
      <c r="J264" s="140">
        <v>471.98077000000001</v>
      </c>
      <c r="K264" s="140">
        <v>646.46286999999995</v>
      </c>
      <c r="L264" s="140">
        <v>1322.5451800000003</v>
      </c>
      <c r="M264" s="143" t="s">
        <v>189</v>
      </c>
      <c r="N264" s="143" t="s">
        <v>189</v>
      </c>
      <c r="P264" s="608">
        <v>646.46286999999995</v>
      </c>
      <c r="Q264" s="141">
        <f t="shared" si="8"/>
        <v>0</v>
      </c>
    </row>
    <row r="265" spans="1:17" ht="31.5">
      <c r="A265" s="138" t="s">
        <v>2061</v>
      </c>
      <c r="B265" s="135" t="s">
        <v>2065</v>
      </c>
      <c r="C265" s="136" t="s">
        <v>798</v>
      </c>
      <c r="D265" s="136" t="s">
        <v>795</v>
      </c>
      <c r="E265" s="138" t="s">
        <v>1571</v>
      </c>
      <c r="F265" s="420">
        <v>43100</v>
      </c>
      <c r="G265" s="141">
        <v>5126.7662289999998</v>
      </c>
      <c r="H265" s="141">
        <v>19</v>
      </c>
      <c r="I265" s="141">
        <v>137.14731</v>
      </c>
      <c r="J265" s="141">
        <v>450.91829000000007</v>
      </c>
      <c r="K265" s="141">
        <v>757.07802000000004</v>
      </c>
      <c r="L265" s="141">
        <v>1421.9279300000001</v>
      </c>
      <c r="M265" s="142" t="s">
        <v>189</v>
      </c>
      <c r="N265" s="142" t="s">
        <v>189</v>
      </c>
      <c r="P265" s="610">
        <v>757.07802000000004</v>
      </c>
      <c r="Q265" s="141">
        <f t="shared" si="8"/>
        <v>0</v>
      </c>
    </row>
    <row r="266" spans="1:17" ht="21">
      <c r="A266" s="136" t="s">
        <v>2064</v>
      </c>
      <c r="B266" s="137" t="s">
        <v>2067</v>
      </c>
      <c r="C266" s="138" t="s">
        <v>657</v>
      </c>
      <c r="D266" s="138" t="s">
        <v>1622</v>
      </c>
      <c r="E266" s="136" t="s">
        <v>1571</v>
      </c>
      <c r="F266" s="419">
        <v>43100</v>
      </c>
      <c r="G266" s="140">
        <v>5122.5548399999998</v>
      </c>
      <c r="H266" s="140">
        <v>39</v>
      </c>
      <c r="I266" s="140"/>
      <c r="J266" s="140">
        <v>904.19152000000008</v>
      </c>
      <c r="K266" s="140">
        <v>1438.6283700000001</v>
      </c>
      <c r="L266" s="140">
        <v>2454.3607700000002</v>
      </c>
      <c r="M266" s="143" t="s">
        <v>189</v>
      </c>
      <c r="N266" s="143" t="s">
        <v>189</v>
      </c>
      <c r="P266" s="608">
        <v>1438.6283700000001</v>
      </c>
      <c r="Q266" s="141">
        <f t="shared" si="8"/>
        <v>0</v>
      </c>
    </row>
    <row r="267" spans="1:17" ht="42">
      <c r="A267" s="138" t="s">
        <v>2066</v>
      </c>
      <c r="B267" s="135" t="s">
        <v>2069</v>
      </c>
      <c r="C267" s="136" t="s">
        <v>1230</v>
      </c>
      <c r="D267" s="136" t="s">
        <v>1229</v>
      </c>
      <c r="E267" s="138" t="s">
        <v>1571</v>
      </c>
      <c r="F267" s="420">
        <v>43100</v>
      </c>
      <c r="G267" s="141">
        <v>5087.3366699999997</v>
      </c>
      <c r="H267" s="141">
        <v>10</v>
      </c>
      <c r="I267" s="141">
        <v>251.29564999999999</v>
      </c>
      <c r="J267" s="141">
        <v>658.93520999999998</v>
      </c>
      <c r="K267" s="141">
        <v>580.53146000000004</v>
      </c>
      <c r="L267" s="141">
        <v>1560.9160590000001</v>
      </c>
      <c r="M267" s="141">
        <v>5</v>
      </c>
      <c r="N267" s="141">
        <v>26</v>
      </c>
      <c r="O267" s="211">
        <f t="shared" si="7"/>
        <v>0.16129032258064516</v>
      </c>
      <c r="P267" s="610">
        <v>580.53146000000004</v>
      </c>
      <c r="Q267" s="141">
        <f t="shared" si="8"/>
        <v>93.634106451612908</v>
      </c>
    </row>
    <row r="268" spans="1:17" ht="21">
      <c r="A268" s="136" t="s">
        <v>2068</v>
      </c>
      <c r="B268" s="137" t="s">
        <v>2071</v>
      </c>
      <c r="C268" s="138" t="s">
        <v>797</v>
      </c>
      <c r="D268" s="138" t="s">
        <v>795</v>
      </c>
      <c r="E268" s="136" t="s">
        <v>1571</v>
      </c>
      <c r="F268" s="419">
        <v>43100</v>
      </c>
      <c r="G268" s="140">
        <v>5062.1515499999996</v>
      </c>
      <c r="H268" s="140">
        <v>20</v>
      </c>
      <c r="I268" s="140">
        <v>73.54637000000001</v>
      </c>
      <c r="J268" s="140">
        <v>348.64690000000002</v>
      </c>
      <c r="K268" s="140">
        <v>810.67236000000014</v>
      </c>
      <c r="L268" s="140">
        <v>1300.8862900000001</v>
      </c>
      <c r="M268" s="140">
        <v>46</v>
      </c>
      <c r="N268" s="140">
        <v>19</v>
      </c>
      <c r="O268" s="211">
        <f t="shared" si="7"/>
        <v>0.70769230769230773</v>
      </c>
      <c r="P268" s="608">
        <v>810.67236000000014</v>
      </c>
      <c r="Q268" s="141">
        <f t="shared" si="8"/>
        <v>573.70659323076939</v>
      </c>
    </row>
    <row r="269" spans="1:17">
      <c r="A269" s="138" t="s">
        <v>2070</v>
      </c>
      <c r="B269" s="135" t="s">
        <v>2073</v>
      </c>
      <c r="C269" s="136" t="s">
        <v>731</v>
      </c>
      <c r="D269" s="136" t="s">
        <v>726</v>
      </c>
      <c r="E269" s="138" t="s">
        <v>1571</v>
      </c>
      <c r="F269" s="420">
        <v>43100</v>
      </c>
      <c r="G269" s="141">
        <v>5016.7529999999997</v>
      </c>
      <c r="H269" s="141">
        <v>26</v>
      </c>
      <c r="I269" s="141"/>
      <c r="J269" s="141">
        <v>446.91200000000003</v>
      </c>
      <c r="K269" s="141">
        <v>1399.883</v>
      </c>
      <c r="L269" s="141">
        <v>2060.6680000000001</v>
      </c>
      <c r="M269" s="141">
        <v>2</v>
      </c>
      <c r="N269" s="141">
        <v>20</v>
      </c>
      <c r="O269" s="211">
        <f t="shared" si="7"/>
        <v>9.0909090909090912E-2</v>
      </c>
      <c r="P269" s="610">
        <v>1399.883</v>
      </c>
      <c r="Q269" s="141">
        <f t="shared" si="8"/>
        <v>127.26209090909092</v>
      </c>
    </row>
    <row r="270" spans="1:17" ht="31.5">
      <c r="A270" s="136" t="s">
        <v>2072</v>
      </c>
      <c r="B270" s="139" t="s">
        <v>2075</v>
      </c>
      <c r="C270" s="138" t="s">
        <v>1373</v>
      </c>
      <c r="D270" s="138" t="s">
        <v>2076</v>
      </c>
      <c r="E270" s="136" t="s">
        <v>1571</v>
      </c>
      <c r="F270" s="419">
        <v>43100</v>
      </c>
      <c r="G270" s="140">
        <v>5012.0291999999999</v>
      </c>
      <c r="H270" s="140">
        <v>30</v>
      </c>
      <c r="I270" s="140">
        <v>37.041360000000005</v>
      </c>
      <c r="J270" s="140">
        <v>306.04566</v>
      </c>
      <c r="K270" s="140">
        <v>1221.7920300000001</v>
      </c>
      <c r="L270" s="140">
        <v>1709.8078500000001</v>
      </c>
      <c r="M270" s="143" t="s">
        <v>189</v>
      </c>
      <c r="N270" s="143" t="s">
        <v>189</v>
      </c>
      <c r="P270" s="608">
        <v>1221.7920300000001</v>
      </c>
      <c r="Q270" s="141">
        <f t="shared" si="8"/>
        <v>0</v>
      </c>
    </row>
    <row r="271" spans="1:17" ht="21">
      <c r="A271" s="138" t="s">
        <v>2074</v>
      </c>
      <c r="B271" s="135" t="s">
        <v>2078</v>
      </c>
      <c r="C271" s="136" t="s">
        <v>735</v>
      </c>
      <c r="D271" s="136" t="s">
        <v>736</v>
      </c>
      <c r="E271" s="138" t="s">
        <v>1571</v>
      </c>
      <c r="F271" s="420">
        <v>42369</v>
      </c>
      <c r="G271" s="141">
        <v>5011.6771799999997</v>
      </c>
      <c r="H271" s="141">
        <v>63</v>
      </c>
      <c r="I271" s="141">
        <v>7.4610799999999999</v>
      </c>
      <c r="J271" s="141">
        <v>14.185630000000002</v>
      </c>
      <c r="K271" s="141">
        <v>1721.2441100000001</v>
      </c>
      <c r="L271" s="141">
        <v>2664.2079299999996</v>
      </c>
      <c r="M271" s="142" t="s">
        <v>189</v>
      </c>
      <c r="N271" s="142" t="s">
        <v>189</v>
      </c>
      <c r="P271" s="610">
        <v>1721.2441100000001</v>
      </c>
      <c r="Q271" s="141">
        <f t="shared" si="8"/>
        <v>0</v>
      </c>
    </row>
    <row r="272" spans="1:17">
      <c r="A272" s="136" t="s">
        <v>2077</v>
      </c>
      <c r="B272" s="137" t="s">
        <v>2080</v>
      </c>
      <c r="C272" s="138" t="s">
        <v>1085</v>
      </c>
      <c r="D272" s="138" t="s">
        <v>811</v>
      </c>
      <c r="E272" s="136" t="s">
        <v>1571</v>
      </c>
      <c r="F272" s="419">
        <v>42735</v>
      </c>
      <c r="G272" s="140">
        <v>5003.7658700000002</v>
      </c>
      <c r="H272" s="140">
        <v>41</v>
      </c>
      <c r="I272" s="140"/>
      <c r="J272" s="140">
        <v>30.189529999999998</v>
      </c>
      <c r="K272" s="140">
        <v>2347.9269399999998</v>
      </c>
      <c r="L272" s="140">
        <v>2587.6934489999999</v>
      </c>
      <c r="M272" s="143" t="s">
        <v>189</v>
      </c>
      <c r="N272" s="143" t="s">
        <v>189</v>
      </c>
      <c r="P272" s="608">
        <v>2347.9269399999998</v>
      </c>
      <c r="Q272" s="141">
        <f t="shared" si="8"/>
        <v>0</v>
      </c>
    </row>
    <row r="273" spans="1:17" ht="31.5">
      <c r="A273" s="138" t="s">
        <v>2079</v>
      </c>
      <c r="B273" s="135" t="s">
        <v>2082</v>
      </c>
      <c r="C273" s="136" t="s">
        <v>1503</v>
      </c>
      <c r="D273" s="136" t="s">
        <v>1429</v>
      </c>
      <c r="E273" s="138" t="s">
        <v>1571</v>
      </c>
      <c r="F273" s="420">
        <v>43100</v>
      </c>
      <c r="G273" s="141">
        <v>4996.8404900000005</v>
      </c>
      <c r="H273" s="141">
        <v>21</v>
      </c>
      <c r="I273" s="141">
        <v>9.423230000000002</v>
      </c>
      <c r="J273" s="141">
        <v>29.840209999999999</v>
      </c>
      <c r="K273" s="141">
        <v>806.10631000000012</v>
      </c>
      <c r="L273" s="141">
        <v>943.41690900000003</v>
      </c>
      <c r="M273" s="142" t="s">
        <v>189</v>
      </c>
      <c r="N273" s="142" t="s">
        <v>189</v>
      </c>
      <c r="P273" s="610">
        <v>806.10631000000012</v>
      </c>
      <c r="Q273" s="141">
        <f t="shared" si="8"/>
        <v>0</v>
      </c>
    </row>
    <row r="274" spans="1:17">
      <c r="A274" s="136" t="s">
        <v>2081</v>
      </c>
      <c r="B274" s="137" t="s">
        <v>2084</v>
      </c>
      <c r="C274" s="138" t="s">
        <v>992</v>
      </c>
      <c r="D274" s="138" t="s">
        <v>975</v>
      </c>
      <c r="E274" s="136" t="s">
        <v>1571</v>
      </c>
      <c r="F274" s="419">
        <v>42735</v>
      </c>
      <c r="G274" s="140">
        <v>4984.9163899999994</v>
      </c>
      <c r="H274" s="140">
        <v>41</v>
      </c>
      <c r="I274" s="143" t="s">
        <v>189</v>
      </c>
      <c r="J274" s="140">
        <v>114.78237000000001</v>
      </c>
      <c r="K274" s="140">
        <v>1414.3976800000003</v>
      </c>
      <c r="L274" s="140">
        <v>1617.9370990000002</v>
      </c>
      <c r="M274" s="140">
        <v>64</v>
      </c>
      <c r="N274" s="140">
        <v>62</v>
      </c>
      <c r="O274" s="211">
        <f t="shared" si="7"/>
        <v>0.50793650793650791</v>
      </c>
      <c r="P274" s="608">
        <v>1414.3976800000003</v>
      </c>
      <c r="Q274" s="141">
        <f t="shared" si="8"/>
        <v>718.42421841269845</v>
      </c>
    </row>
    <row r="275" spans="1:17" ht="42">
      <c r="A275" s="138" t="s">
        <v>2083</v>
      </c>
      <c r="B275" s="135" t="s">
        <v>2086</v>
      </c>
      <c r="C275" s="136" t="s">
        <v>1486</v>
      </c>
      <c r="D275" s="136" t="s">
        <v>1474</v>
      </c>
      <c r="E275" s="138" t="s">
        <v>1571</v>
      </c>
      <c r="F275" s="420">
        <v>42735</v>
      </c>
      <c r="G275" s="141">
        <v>4961.0259999999998</v>
      </c>
      <c r="H275" s="141">
        <v>24</v>
      </c>
      <c r="I275" s="142" t="s">
        <v>189</v>
      </c>
      <c r="J275" s="141">
        <v>13.338000000000001</v>
      </c>
      <c r="K275" s="141">
        <v>733.17200000000003</v>
      </c>
      <c r="L275" s="141">
        <v>1044.6390000000001</v>
      </c>
      <c r="M275" s="141">
        <v>63</v>
      </c>
      <c r="N275" s="141">
        <v>66</v>
      </c>
      <c r="O275" s="211">
        <f t="shared" si="7"/>
        <v>0.48837209302325579</v>
      </c>
      <c r="P275" s="610">
        <v>733.17200000000003</v>
      </c>
      <c r="Q275" s="141">
        <f t="shared" si="8"/>
        <v>358.06074418604652</v>
      </c>
    </row>
    <row r="276" spans="1:17" ht="21">
      <c r="A276" s="136" t="s">
        <v>2085</v>
      </c>
      <c r="B276" s="137" t="s">
        <v>2088</v>
      </c>
      <c r="C276" s="138" t="s">
        <v>804</v>
      </c>
      <c r="D276" s="138" t="s">
        <v>800</v>
      </c>
      <c r="E276" s="136" t="s">
        <v>1571</v>
      </c>
      <c r="F276" s="419">
        <v>43100</v>
      </c>
      <c r="G276" s="140">
        <v>4954.0864500000007</v>
      </c>
      <c r="H276" s="140">
        <v>18</v>
      </c>
      <c r="I276" s="140"/>
      <c r="J276" s="140">
        <v>-156.18312</v>
      </c>
      <c r="K276" s="140">
        <v>778.37430000000006</v>
      </c>
      <c r="L276" s="140">
        <v>742.82236000000012</v>
      </c>
      <c r="M276" s="140">
        <v>4</v>
      </c>
      <c r="N276" s="140">
        <v>28</v>
      </c>
      <c r="O276" s="211">
        <f t="shared" si="7"/>
        <v>0.125</v>
      </c>
      <c r="P276" s="608">
        <v>778.37430000000006</v>
      </c>
      <c r="Q276" s="141">
        <f t="shared" si="8"/>
        <v>97.296787500000008</v>
      </c>
    </row>
    <row r="277" spans="1:17">
      <c r="A277" s="138" t="s">
        <v>2087</v>
      </c>
      <c r="B277" s="135" t="s">
        <v>2090</v>
      </c>
      <c r="C277" s="136" t="s">
        <v>946</v>
      </c>
      <c r="D277" s="136" t="s">
        <v>811</v>
      </c>
      <c r="E277" s="138" t="s">
        <v>1571</v>
      </c>
      <c r="F277" s="420">
        <v>43100</v>
      </c>
      <c r="G277" s="141">
        <v>4915.35808</v>
      </c>
      <c r="H277" s="141">
        <v>10</v>
      </c>
      <c r="I277" s="141">
        <v>11.849140000000002</v>
      </c>
      <c r="J277" s="141">
        <v>57.546850000000006</v>
      </c>
      <c r="K277" s="141">
        <v>427.09322000000003</v>
      </c>
      <c r="L277" s="141">
        <v>574.71443000000011</v>
      </c>
      <c r="M277" s="141">
        <v>2</v>
      </c>
      <c r="N277" s="141">
        <v>10</v>
      </c>
      <c r="O277" s="211">
        <f t="shared" si="7"/>
        <v>0.16666666666666666</v>
      </c>
      <c r="P277" s="610">
        <v>427.09322000000003</v>
      </c>
      <c r="Q277" s="141">
        <f t="shared" si="8"/>
        <v>71.182203333333334</v>
      </c>
    </row>
    <row r="278" spans="1:17">
      <c r="A278" s="136" t="s">
        <v>2089</v>
      </c>
      <c r="B278" s="137" t="s">
        <v>2092</v>
      </c>
      <c r="C278" s="138" t="s">
        <v>732</v>
      </c>
      <c r="D278" s="138" t="s">
        <v>726</v>
      </c>
      <c r="E278" s="136" t="s">
        <v>1571</v>
      </c>
      <c r="F278" s="419">
        <v>42735</v>
      </c>
      <c r="G278" s="140">
        <v>4911.3635199999999</v>
      </c>
      <c r="H278" s="140">
        <v>8</v>
      </c>
      <c r="I278" s="143" t="s">
        <v>189</v>
      </c>
      <c r="J278" s="140">
        <v>-70.720370000000017</v>
      </c>
      <c r="K278" s="140">
        <v>534.21681000000012</v>
      </c>
      <c r="L278" s="140">
        <v>469.48604</v>
      </c>
      <c r="M278" s="140">
        <v>214</v>
      </c>
      <c r="N278" s="140">
        <v>34</v>
      </c>
      <c r="O278" s="211">
        <f t="shared" si="7"/>
        <v>0.86290322580645162</v>
      </c>
      <c r="P278" s="608">
        <v>534.21681000000012</v>
      </c>
      <c r="Q278" s="141">
        <f t="shared" si="8"/>
        <v>460.97740862903237</v>
      </c>
    </row>
    <row r="279" spans="1:17" ht="42">
      <c r="A279" s="138" t="s">
        <v>2091</v>
      </c>
      <c r="B279" s="135" t="s">
        <v>2094</v>
      </c>
      <c r="C279" s="136" t="s">
        <v>858</v>
      </c>
      <c r="D279" s="136" t="s">
        <v>811</v>
      </c>
      <c r="E279" s="138" t="s">
        <v>1571</v>
      </c>
      <c r="F279" s="420">
        <v>43100</v>
      </c>
      <c r="G279" s="141">
        <v>4894.2151700000004</v>
      </c>
      <c r="H279" s="141">
        <v>33</v>
      </c>
      <c r="I279" s="141">
        <v>10.74361</v>
      </c>
      <c r="J279" s="141">
        <v>70.64734</v>
      </c>
      <c r="K279" s="141">
        <v>1279.2360800000001</v>
      </c>
      <c r="L279" s="141">
        <v>1565.1607800000002</v>
      </c>
      <c r="M279" s="141">
        <v>62</v>
      </c>
      <c r="N279" s="141">
        <v>39</v>
      </c>
      <c r="O279" s="211">
        <f t="shared" si="7"/>
        <v>0.61386138613861385</v>
      </c>
      <c r="P279" s="610">
        <v>1279.2360800000001</v>
      </c>
      <c r="Q279" s="141">
        <f t="shared" si="8"/>
        <v>785.27363326732677</v>
      </c>
    </row>
    <row r="280" spans="1:17" ht="31.5">
      <c r="A280" s="136" t="s">
        <v>2093</v>
      </c>
      <c r="B280" s="137" t="s">
        <v>2096</v>
      </c>
      <c r="C280" s="138" t="s">
        <v>1340</v>
      </c>
      <c r="D280" s="138" t="s">
        <v>1341</v>
      </c>
      <c r="E280" s="136" t="s">
        <v>1571</v>
      </c>
      <c r="F280" s="419">
        <v>43100</v>
      </c>
      <c r="G280" s="140">
        <v>4860.3052700000007</v>
      </c>
      <c r="H280" s="140">
        <v>90</v>
      </c>
      <c r="I280" s="140"/>
      <c r="J280" s="140">
        <v>-616.16706000000011</v>
      </c>
      <c r="K280" s="140">
        <v>2288.0017900000003</v>
      </c>
      <c r="L280" s="140">
        <v>1539.53394</v>
      </c>
      <c r="M280" s="143" t="s">
        <v>189</v>
      </c>
      <c r="N280" s="143" t="s">
        <v>189</v>
      </c>
      <c r="P280" s="608">
        <v>2288.0017900000003</v>
      </c>
      <c r="Q280" s="141">
        <f t="shared" si="8"/>
        <v>0</v>
      </c>
    </row>
    <row r="281" spans="1:17">
      <c r="A281" s="138" t="s">
        <v>2095</v>
      </c>
      <c r="B281" s="135" t="s">
        <v>2098</v>
      </c>
      <c r="C281" s="136" t="s">
        <v>791</v>
      </c>
      <c r="D281" s="136" t="s">
        <v>789</v>
      </c>
      <c r="E281" s="138" t="s">
        <v>1571</v>
      </c>
      <c r="F281" s="420">
        <v>43100</v>
      </c>
      <c r="G281" s="141">
        <v>4849.4679999999998</v>
      </c>
      <c r="H281" s="141">
        <v>124</v>
      </c>
      <c r="I281" s="142" t="s">
        <v>189</v>
      </c>
      <c r="J281" s="141">
        <v>-20</v>
      </c>
      <c r="K281" s="141">
        <v>2472.7829999999999</v>
      </c>
      <c r="L281" s="141">
        <v>2664.7110000000002</v>
      </c>
      <c r="M281" s="142" t="s">
        <v>189</v>
      </c>
      <c r="N281" s="142" t="s">
        <v>189</v>
      </c>
      <c r="P281" s="610">
        <v>2472.7829999999999</v>
      </c>
      <c r="Q281" s="141">
        <f t="shared" si="8"/>
        <v>0</v>
      </c>
    </row>
    <row r="282" spans="1:17" ht="31.5">
      <c r="A282" s="136" t="s">
        <v>2097</v>
      </c>
      <c r="B282" s="137" t="s">
        <v>2100</v>
      </c>
      <c r="C282" s="138" t="s">
        <v>1483</v>
      </c>
      <c r="D282" s="138" t="s">
        <v>1474</v>
      </c>
      <c r="E282" s="136" t="s">
        <v>1571</v>
      </c>
      <c r="F282" s="419">
        <v>43100</v>
      </c>
      <c r="G282" s="140">
        <v>4799.9949100000003</v>
      </c>
      <c r="H282" s="140">
        <v>30</v>
      </c>
      <c r="I282" s="140">
        <v>17.441470000000002</v>
      </c>
      <c r="J282" s="140">
        <v>264.52733000000001</v>
      </c>
      <c r="K282" s="140">
        <v>1268.9275300000002</v>
      </c>
      <c r="L282" s="140">
        <v>1732.1378590000002</v>
      </c>
      <c r="M282" s="140">
        <v>5</v>
      </c>
      <c r="N282" s="140">
        <v>39</v>
      </c>
      <c r="O282" s="211">
        <f t="shared" si="7"/>
        <v>0.11363636363636363</v>
      </c>
      <c r="P282" s="608">
        <v>1268.9275300000002</v>
      </c>
      <c r="Q282" s="141">
        <f t="shared" si="8"/>
        <v>144.19631022727273</v>
      </c>
    </row>
    <row r="283" spans="1:17" ht="21">
      <c r="A283" s="138" t="s">
        <v>2099</v>
      </c>
      <c r="B283" s="135" t="s">
        <v>2102</v>
      </c>
      <c r="C283" s="136" t="s">
        <v>1473</v>
      </c>
      <c r="D283" s="136" t="s">
        <v>1474</v>
      </c>
      <c r="E283" s="138" t="s">
        <v>1571</v>
      </c>
      <c r="F283" s="420">
        <v>43100</v>
      </c>
      <c r="G283" s="141">
        <v>4757.0126499999997</v>
      </c>
      <c r="H283" s="141">
        <v>11</v>
      </c>
      <c r="I283" s="141">
        <v>195.47970000000001</v>
      </c>
      <c r="J283" s="141">
        <v>533.28706899999997</v>
      </c>
      <c r="K283" s="141">
        <v>850.00515000000007</v>
      </c>
      <c r="L283" s="141">
        <v>1635.3994690000002</v>
      </c>
      <c r="M283" s="141">
        <v>12</v>
      </c>
      <c r="N283" s="141">
        <v>32</v>
      </c>
      <c r="O283" s="211">
        <f t="shared" si="7"/>
        <v>0.27272727272727271</v>
      </c>
      <c r="P283" s="610">
        <v>850.00515000000007</v>
      </c>
      <c r="Q283" s="141">
        <f t="shared" si="8"/>
        <v>231.81958636363638</v>
      </c>
    </row>
    <row r="284" spans="1:17" ht="31.5">
      <c r="A284" s="136" t="s">
        <v>2101</v>
      </c>
      <c r="B284" s="137" t="s">
        <v>2104</v>
      </c>
      <c r="C284" s="138" t="s">
        <v>1385</v>
      </c>
      <c r="D284" s="138" t="s">
        <v>1797</v>
      </c>
      <c r="E284" s="136" t="s">
        <v>1571</v>
      </c>
      <c r="F284" s="419">
        <v>43100</v>
      </c>
      <c r="G284" s="140">
        <v>4745.1590200000001</v>
      </c>
      <c r="H284" s="140">
        <v>155</v>
      </c>
      <c r="I284" s="140"/>
      <c r="J284" s="140">
        <v>216.53501</v>
      </c>
      <c r="K284" s="140">
        <v>3772.7552300000002</v>
      </c>
      <c r="L284" s="140">
        <v>3888.3913600000001</v>
      </c>
      <c r="M284" s="143" t="s">
        <v>189</v>
      </c>
      <c r="N284" s="143" t="s">
        <v>189</v>
      </c>
      <c r="P284" s="608">
        <v>3772.7552300000002</v>
      </c>
      <c r="Q284" s="141">
        <f t="shared" si="8"/>
        <v>0</v>
      </c>
    </row>
    <row r="285" spans="1:17">
      <c r="A285" s="138" t="s">
        <v>2103</v>
      </c>
      <c r="B285" s="135" t="s">
        <v>2106</v>
      </c>
      <c r="C285" s="136" t="s">
        <v>1162</v>
      </c>
      <c r="D285" s="136" t="s">
        <v>1156</v>
      </c>
      <c r="E285" s="138" t="s">
        <v>1571</v>
      </c>
      <c r="F285" s="420">
        <v>43100</v>
      </c>
      <c r="G285" s="141">
        <v>4732.9515700000002</v>
      </c>
      <c r="H285" s="141">
        <v>101</v>
      </c>
      <c r="I285" s="141">
        <v>18.85183</v>
      </c>
      <c r="J285" s="141">
        <v>48.476140000000001</v>
      </c>
      <c r="K285" s="141">
        <v>2816.4080199999999</v>
      </c>
      <c r="L285" s="141">
        <v>2895.6437400000004</v>
      </c>
      <c r="M285" s="141">
        <v>3</v>
      </c>
      <c r="N285" s="141">
        <v>18</v>
      </c>
      <c r="O285" s="211">
        <f t="shared" ref="O285:O341" si="9">M285/(M285+N285)</f>
        <v>0.14285714285714285</v>
      </c>
      <c r="P285" s="610">
        <v>2816.4080199999999</v>
      </c>
      <c r="Q285" s="141">
        <f t="shared" si="8"/>
        <v>402.34400285714281</v>
      </c>
    </row>
    <row r="286" spans="1:17" ht="21">
      <c r="A286" s="136" t="s">
        <v>2105</v>
      </c>
      <c r="B286" s="137" t="s">
        <v>2108</v>
      </c>
      <c r="C286" s="138" t="s">
        <v>1199</v>
      </c>
      <c r="D286" s="138" t="s">
        <v>1197</v>
      </c>
      <c r="E286" s="136" t="s">
        <v>1571</v>
      </c>
      <c r="F286" s="419">
        <v>43100</v>
      </c>
      <c r="G286" s="140">
        <v>4720.7025100000001</v>
      </c>
      <c r="H286" s="140">
        <v>52</v>
      </c>
      <c r="I286" s="140"/>
      <c r="J286" s="140">
        <v>-24.037710000000001</v>
      </c>
      <c r="K286" s="140">
        <v>1878.6566</v>
      </c>
      <c r="L286" s="140">
        <v>2247.029329</v>
      </c>
      <c r="M286" s="140">
        <v>2</v>
      </c>
      <c r="N286" s="140">
        <v>65</v>
      </c>
      <c r="O286" s="211">
        <f t="shared" si="9"/>
        <v>2.9850746268656716E-2</v>
      </c>
      <c r="P286" s="608">
        <v>1878.6566</v>
      </c>
      <c r="Q286" s="141">
        <f t="shared" si="8"/>
        <v>56.079301492537311</v>
      </c>
    </row>
    <row r="287" spans="1:17" ht="42">
      <c r="A287" s="138" t="s">
        <v>2107</v>
      </c>
      <c r="B287" s="135" t="s">
        <v>2110</v>
      </c>
      <c r="C287" s="136" t="s">
        <v>1193</v>
      </c>
      <c r="D287" s="136" t="s">
        <v>1190</v>
      </c>
      <c r="E287" s="138" t="s">
        <v>1571</v>
      </c>
      <c r="F287" s="420">
        <v>43100</v>
      </c>
      <c r="G287" s="141">
        <v>4717.7991889999994</v>
      </c>
      <c r="H287" s="141">
        <v>43</v>
      </c>
      <c r="I287" s="141">
        <v>23.66366</v>
      </c>
      <c r="J287" s="141">
        <v>82.141030000000001</v>
      </c>
      <c r="K287" s="141">
        <v>1864.3286100000003</v>
      </c>
      <c r="L287" s="141">
        <v>2336.5271400000001</v>
      </c>
      <c r="M287" s="142" t="s">
        <v>189</v>
      </c>
      <c r="N287" s="142" t="s">
        <v>189</v>
      </c>
      <c r="P287" s="610">
        <v>1864.3286100000003</v>
      </c>
      <c r="Q287" s="141">
        <f t="shared" si="8"/>
        <v>0</v>
      </c>
    </row>
    <row r="288" spans="1:17" ht="42">
      <c r="A288" s="136" t="s">
        <v>2109</v>
      </c>
      <c r="B288" s="137" t="s">
        <v>2112</v>
      </c>
      <c r="C288" s="138" t="s">
        <v>1079</v>
      </c>
      <c r="D288" s="138" t="s">
        <v>969</v>
      </c>
      <c r="E288" s="136" t="s">
        <v>1571</v>
      </c>
      <c r="F288" s="419">
        <v>43100</v>
      </c>
      <c r="G288" s="140">
        <v>4703.6744000000008</v>
      </c>
      <c r="H288" s="140">
        <v>42</v>
      </c>
      <c r="I288" s="140"/>
      <c r="J288" s="140">
        <v>399.86823000000004</v>
      </c>
      <c r="K288" s="140">
        <v>1929.6461100000001</v>
      </c>
      <c r="L288" s="140">
        <v>2601.6975499999999</v>
      </c>
      <c r="M288" s="140">
        <v>8</v>
      </c>
      <c r="N288" s="140">
        <v>10</v>
      </c>
      <c r="O288" s="211">
        <f t="shared" si="9"/>
        <v>0.44444444444444442</v>
      </c>
      <c r="P288" s="608">
        <v>1929.6461100000001</v>
      </c>
      <c r="Q288" s="141">
        <f t="shared" si="8"/>
        <v>857.62049333333334</v>
      </c>
    </row>
    <row r="289" spans="1:17" ht="42">
      <c r="A289" s="138" t="s">
        <v>2111</v>
      </c>
      <c r="B289" s="135" t="s">
        <v>2114</v>
      </c>
      <c r="C289" s="136" t="s">
        <v>978</v>
      </c>
      <c r="D289" s="136" t="s">
        <v>975</v>
      </c>
      <c r="E289" s="138" t="s">
        <v>1571</v>
      </c>
      <c r="F289" s="420">
        <v>43100</v>
      </c>
      <c r="G289" s="141">
        <v>4677</v>
      </c>
      <c r="H289" s="141">
        <v>46</v>
      </c>
      <c r="I289" s="141">
        <v>583</v>
      </c>
      <c r="J289" s="141">
        <v>1566</v>
      </c>
      <c r="K289" s="141">
        <v>1824</v>
      </c>
      <c r="L289" s="141">
        <v>4257</v>
      </c>
      <c r="M289" s="142" t="s">
        <v>189</v>
      </c>
      <c r="N289" s="142" t="s">
        <v>189</v>
      </c>
      <c r="P289" s="610">
        <v>1824</v>
      </c>
      <c r="Q289" s="141">
        <f t="shared" si="8"/>
        <v>0</v>
      </c>
    </row>
    <row r="290" spans="1:17" ht="21">
      <c r="A290" s="136" t="s">
        <v>2113</v>
      </c>
      <c r="B290" s="137" t="s">
        <v>2116</v>
      </c>
      <c r="C290" s="138" t="s">
        <v>611</v>
      </c>
      <c r="D290" s="138" t="s">
        <v>596</v>
      </c>
      <c r="E290" s="136" t="s">
        <v>1571</v>
      </c>
      <c r="F290" s="419">
        <v>42369</v>
      </c>
      <c r="G290" s="140">
        <v>4675.3922899999998</v>
      </c>
      <c r="H290" s="140">
        <v>98</v>
      </c>
      <c r="I290" s="143" t="s">
        <v>189</v>
      </c>
      <c r="J290" s="140">
        <v>53.046599999999998</v>
      </c>
      <c r="K290" s="140">
        <v>2259.8682800000001</v>
      </c>
      <c r="L290" s="140">
        <v>2528.8464099999997</v>
      </c>
      <c r="M290" s="143" t="s">
        <v>189</v>
      </c>
      <c r="N290" s="143" t="s">
        <v>189</v>
      </c>
      <c r="P290" s="608">
        <v>2259.8682800000001</v>
      </c>
      <c r="Q290" s="141">
        <f t="shared" ref="Q290:Q353" si="10">O290*P290</f>
        <v>0</v>
      </c>
    </row>
    <row r="291" spans="1:17" ht="31.5">
      <c r="A291" s="138" t="s">
        <v>2115</v>
      </c>
      <c r="B291" s="135" t="s">
        <v>2118</v>
      </c>
      <c r="C291" s="136" t="s">
        <v>1482</v>
      </c>
      <c r="D291" s="136" t="s">
        <v>1474</v>
      </c>
      <c r="E291" s="138" t="s">
        <v>1571</v>
      </c>
      <c r="F291" s="420">
        <v>43100</v>
      </c>
      <c r="G291" s="141">
        <v>4671.7407199999998</v>
      </c>
      <c r="H291" s="141">
        <v>18</v>
      </c>
      <c r="I291" s="141">
        <v>81.690479999999994</v>
      </c>
      <c r="J291" s="141">
        <v>337.55907000000002</v>
      </c>
      <c r="K291" s="141">
        <v>826.58544000000006</v>
      </c>
      <c r="L291" s="141">
        <v>1426.27241</v>
      </c>
      <c r="M291" s="141">
        <v>10</v>
      </c>
      <c r="N291" s="141">
        <v>21</v>
      </c>
      <c r="O291" s="211">
        <f t="shared" si="9"/>
        <v>0.32258064516129031</v>
      </c>
      <c r="P291" s="610">
        <v>826.58544000000006</v>
      </c>
      <c r="Q291" s="141">
        <f t="shared" si="10"/>
        <v>266.64046451612904</v>
      </c>
    </row>
    <row r="292" spans="1:17" ht="21">
      <c r="A292" s="136" t="s">
        <v>2117</v>
      </c>
      <c r="B292" s="137" t="s">
        <v>2120</v>
      </c>
      <c r="C292" s="138" t="s">
        <v>1149</v>
      </c>
      <c r="D292" s="138" t="s">
        <v>1145</v>
      </c>
      <c r="E292" s="136" t="s">
        <v>1571</v>
      </c>
      <c r="F292" s="419">
        <v>43100</v>
      </c>
      <c r="G292" s="140">
        <v>4635.880470000001</v>
      </c>
      <c r="H292" s="140">
        <v>67</v>
      </c>
      <c r="I292" s="140">
        <v>14.937760000000001</v>
      </c>
      <c r="J292" s="140">
        <v>67.611239999999995</v>
      </c>
      <c r="K292" s="140">
        <v>2188.2481499999999</v>
      </c>
      <c r="L292" s="140">
        <v>2306.8301299999998</v>
      </c>
      <c r="M292" s="143" t="s">
        <v>189</v>
      </c>
      <c r="N292" s="143" t="s">
        <v>189</v>
      </c>
      <c r="P292" s="608">
        <v>2188.2481499999999</v>
      </c>
      <c r="Q292" s="141">
        <f t="shared" si="10"/>
        <v>0</v>
      </c>
    </row>
    <row r="293" spans="1:17" ht="21">
      <c r="A293" s="138" t="s">
        <v>2119</v>
      </c>
      <c r="B293" s="135" t="s">
        <v>2122</v>
      </c>
      <c r="C293" s="136" t="s">
        <v>1489</v>
      </c>
      <c r="D293" s="136" t="s">
        <v>1474</v>
      </c>
      <c r="E293" s="138" t="s">
        <v>1571</v>
      </c>
      <c r="F293" s="420">
        <v>43100</v>
      </c>
      <c r="G293" s="141">
        <v>4590.1329400000004</v>
      </c>
      <c r="H293" s="141">
        <v>13</v>
      </c>
      <c r="I293" s="141">
        <v>27.59637</v>
      </c>
      <c r="J293" s="141">
        <v>87.388530000000003</v>
      </c>
      <c r="K293" s="141">
        <v>545.48350000000005</v>
      </c>
      <c r="L293" s="141">
        <v>714.05247999999995</v>
      </c>
      <c r="M293" s="141">
        <v>13</v>
      </c>
      <c r="N293" s="141">
        <v>12</v>
      </c>
      <c r="O293" s="211">
        <f t="shared" si="9"/>
        <v>0.52</v>
      </c>
      <c r="P293" s="610">
        <v>545.48350000000005</v>
      </c>
      <c r="Q293" s="141">
        <f t="shared" si="10"/>
        <v>283.65142000000003</v>
      </c>
    </row>
    <row r="294" spans="1:17" ht="21">
      <c r="A294" s="136" t="s">
        <v>2121</v>
      </c>
      <c r="B294" s="137" t="s">
        <v>2124</v>
      </c>
      <c r="C294" s="138" t="s">
        <v>1514</v>
      </c>
      <c r="D294" s="138" t="s">
        <v>1501</v>
      </c>
      <c r="E294" s="136" t="s">
        <v>1571</v>
      </c>
      <c r="F294" s="419">
        <v>43100</v>
      </c>
      <c r="G294" s="140">
        <v>4568.8490899999997</v>
      </c>
      <c r="H294" s="140">
        <v>16</v>
      </c>
      <c r="I294" s="140">
        <v>40.804189999999998</v>
      </c>
      <c r="J294" s="140">
        <v>102.13552</v>
      </c>
      <c r="K294" s="140">
        <v>771.94825000000003</v>
      </c>
      <c r="L294" s="140">
        <v>926.06844000000012</v>
      </c>
      <c r="M294" s="143" t="s">
        <v>189</v>
      </c>
      <c r="N294" s="143" t="s">
        <v>189</v>
      </c>
      <c r="P294" s="608">
        <v>771.94825000000003</v>
      </c>
      <c r="Q294" s="141">
        <f t="shared" si="10"/>
        <v>0</v>
      </c>
    </row>
    <row r="295" spans="1:17" ht="21">
      <c r="A295" s="138" t="s">
        <v>2123</v>
      </c>
      <c r="B295" s="135" t="s">
        <v>2126</v>
      </c>
      <c r="C295" s="136" t="s">
        <v>1138</v>
      </c>
      <c r="D295" s="136" t="s">
        <v>1135</v>
      </c>
      <c r="E295" s="138" t="s">
        <v>1571</v>
      </c>
      <c r="F295" s="420">
        <v>43100</v>
      </c>
      <c r="G295" s="141">
        <v>4558.6658099999995</v>
      </c>
      <c r="H295" s="141">
        <v>20</v>
      </c>
      <c r="I295" s="141">
        <v>5.2328900000000003</v>
      </c>
      <c r="J295" s="141">
        <v>16.570799999999998</v>
      </c>
      <c r="K295" s="141">
        <v>640.55643000000009</v>
      </c>
      <c r="L295" s="141">
        <v>723.56195000000014</v>
      </c>
      <c r="M295" s="141">
        <v>36</v>
      </c>
      <c r="N295" s="141">
        <v>12</v>
      </c>
      <c r="O295" s="211">
        <f t="shared" si="9"/>
        <v>0.75</v>
      </c>
      <c r="P295" s="610">
        <v>640.55643000000009</v>
      </c>
      <c r="Q295" s="141">
        <f t="shared" si="10"/>
        <v>480.41732250000007</v>
      </c>
    </row>
    <row r="296" spans="1:17" ht="21">
      <c r="A296" s="136" t="s">
        <v>2125</v>
      </c>
      <c r="B296" s="137" t="s">
        <v>2128</v>
      </c>
      <c r="C296" s="138" t="s">
        <v>1358</v>
      </c>
      <c r="D296" s="138" t="s">
        <v>1343</v>
      </c>
      <c r="E296" s="136" t="s">
        <v>1571</v>
      </c>
      <c r="F296" s="419">
        <v>43100</v>
      </c>
      <c r="G296" s="140">
        <v>4555.2970700000005</v>
      </c>
      <c r="H296" s="140">
        <v>16</v>
      </c>
      <c r="I296" s="143" t="s">
        <v>189</v>
      </c>
      <c r="J296" s="140">
        <v>78.36739</v>
      </c>
      <c r="K296" s="140">
        <v>465.58851000000004</v>
      </c>
      <c r="L296" s="140">
        <v>709.96408999999994</v>
      </c>
      <c r="M296" s="140">
        <v>2</v>
      </c>
      <c r="N296" s="140">
        <v>5</v>
      </c>
      <c r="O296" s="211">
        <f t="shared" si="9"/>
        <v>0.2857142857142857</v>
      </c>
      <c r="P296" s="608">
        <v>465.58851000000004</v>
      </c>
      <c r="Q296" s="141">
        <f t="shared" si="10"/>
        <v>133.02528857142858</v>
      </c>
    </row>
    <row r="297" spans="1:17" ht="31.5">
      <c r="A297" s="138" t="s">
        <v>2127</v>
      </c>
      <c r="B297" s="135" t="s">
        <v>2130</v>
      </c>
      <c r="C297" s="136" t="s">
        <v>1125</v>
      </c>
      <c r="D297" s="136" t="s">
        <v>1112</v>
      </c>
      <c r="E297" s="138" t="s">
        <v>1571</v>
      </c>
      <c r="F297" s="420">
        <v>43100</v>
      </c>
      <c r="G297" s="141">
        <v>4555.2456099999999</v>
      </c>
      <c r="H297" s="141">
        <v>27</v>
      </c>
      <c r="I297" s="141"/>
      <c r="J297" s="141">
        <v>101.87418000000001</v>
      </c>
      <c r="K297" s="141">
        <v>1273.90753</v>
      </c>
      <c r="L297" s="141">
        <v>1524.6053190000002</v>
      </c>
      <c r="M297" s="142" t="s">
        <v>189</v>
      </c>
      <c r="N297" s="142" t="s">
        <v>189</v>
      </c>
      <c r="P297" s="610">
        <v>1273.90753</v>
      </c>
      <c r="Q297" s="141">
        <f t="shared" si="10"/>
        <v>0</v>
      </c>
    </row>
    <row r="298" spans="1:17" ht="21">
      <c r="A298" s="136" t="s">
        <v>2129</v>
      </c>
      <c r="B298" s="137" t="s">
        <v>2132</v>
      </c>
      <c r="C298" s="138" t="s">
        <v>823</v>
      </c>
      <c r="D298" s="138" t="s">
        <v>811</v>
      </c>
      <c r="E298" s="136" t="s">
        <v>1571</v>
      </c>
      <c r="F298" s="419">
        <v>42735</v>
      </c>
      <c r="G298" s="140">
        <v>4552.3310599999995</v>
      </c>
      <c r="H298" s="143" t="s">
        <v>189</v>
      </c>
      <c r="I298" s="140">
        <v>23.230629999999998</v>
      </c>
      <c r="J298" s="140">
        <v>73.563690000000008</v>
      </c>
      <c r="K298" s="140">
        <v>1143.9946100000002</v>
      </c>
      <c r="L298" s="140">
        <v>1390.8885299999999</v>
      </c>
      <c r="M298" s="140">
        <v>6</v>
      </c>
      <c r="N298" s="140">
        <v>38</v>
      </c>
      <c r="O298" s="211">
        <f t="shared" si="9"/>
        <v>0.13636363636363635</v>
      </c>
      <c r="P298" s="608">
        <v>1143.9946100000002</v>
      </c>
      <c r="Q298" s="141">
        <f t="shared" si="10"/>
        <v>155.99926500000001</v>
      </c>
    </row>
    <row r="299" spans="1:17" ht="21">
      <c r="A299" s="138" t="s">
        <v>2131</v>
      </c>
      <c r="B299" s="135" t="s">
        <v>2134</v>
      </c>
      <c r="C299" s="136" t="s">
        <v>1328</v>
      </c>
      <c r="D299" s="136" t="s">
        <v>1320</v>
      </c>
      <c r="E299" s="138" t="s">
        <v>1571</v>
      </c>
      <c r="F299" s="420">
        <v>42735</v>
      </c>
      <c r="G299" s="141">
        <v>4537.8215300000002</v>
      </c>
      <c r="H299" s="141">
        <v>39</v>
      </c>
      <c r="I299" s="141">
        <v>77.063289999999995</v>
      </c>
      <c r="J299" s="141">
        <v>289.29874000000001</v>
      </c>
      <c r="K299" s="141">
        <v>1382.3161900000002</v>
      </c>
      <c r="L299" s="141">
        <v>1836.2565099999999</v>
      </c>
      <c r="M299" s="142" t="s">
        <v>189</v>
      </c>
      <c r="N299" s="142" t="s">
        <v>189</v>
      </c>
      <c r="P299" s="610">
        <v>1382.3161900000002</v>
      </c>
      <c r="Q299" s="141">
        <f t="shared" si="10"/>
        <v>0</v>
      </c>
    </row>
    <row r="300" spans="1:17" ht="52.5">
      <c r="A300" s="136" t="s">
        <v>2133</v>
      </c>
      <c r="B300" s="137" t="s">
        <v>2136</v>
      </c>
      <c r="C300" s="138" t="s">
        <v>626</v>
      </c>
      <c r="D300" s="138" t="s">
        <v>596</v>
      </c>
      <c r="E300" s="136" t="s">
        <v>1571</v>
      </c>
      <c r="F300" s="419">
        <v>43100</v>
      </c>
      <c r="G300" s="140">
        <v>4526.7970000000005</v>
      </c>
      <c r="H300" s="140">
        <v>21</v>
      </c>
      <c r="I300" s="140"/>
      <c r="J300" s="140">
        <v>-206.04400000000001</v>
      </c>
      <c r="K300" s="140">
        <v>802.32799999999997</v>
      </c>
      <c r="L300" s="140">
        <v>669.13499999999999</v>
      </c>
      <c r="M300" s="143" t="s">
        <v>189</v>
      </c>
      <c r="N300" s="143" t="s">
        <v>189</v>
      </c>
      <c r="P300" s="608">
        <v>802.32799999999997</v>
      </c>
      <c r="Q300" s="141">
        <f t="shared" si="10"/>
        <v>0</v>
      </c>
    </row>
    <row r="301" spans="1:17" ht="31.5">
      <c r="A301" s="138" t="s">
        <v>2135</v>
      </c>
      <c r="B301" s="135" t="s">
        <v>2138</v>
      </c>
      <c r="C301" s="136" t="s">
        <v>601</v>
      </c>
      <c r="D301" s="136" t="s">
        <v>596</v>
      </c>
      <c r="E301" s="138" t="s">
        <v>1571</v>
      </c>
      <c r="F301" s="420">
        <v>42735</v>
      </c>
      <c r="G301" s="141">
        <v>4496.9659600000005</v>
      </c>
      <c r="H301" s="141">
        <v>26</v>
      </c>
      <c r="I301" s="141">
        <v>13.490819999999999</v>
      </c>
      <c r="J301" s="141">
        <v>288.75297000000006</v>
      </c>
      <c r="K301" s="141">
        <v>1201.6314199999999</v>
      </c>
      <c r="L301" s="141">
        <v>1583.5482500000001</v>
      </c>
      <c r="M301" s="141">
        <v>5</v>
      </c>
      <c r="N301" s="141">
        <v>48</v>
      </c>
      <c r="O301" s="211">
        <f t="shared" si="9"/>
        <v>9.4339622641509441E-2</v>
      </c>
      <c r="P301" s="610">
        <v>1201.6314199999999</v>
      </c>
      <c r="Q301" s="141">
        <f t="shared" si="10"/>
        <v>113.36145471698113</v>
      </c>
    </row>
    <row r="302" spans="1:17" ht="42">
      <c r="A302" s="136" t="s">
        <v>2137</v>
      </c>
      <c r="B302" s="137" t="s">
        <v>2140</v>
      </c>
      <c r="C302" s="138" t="s">
        <v>1484</v>
      </c>
      <c r="D302" s="138" t="s">
        <v>1474</v>
      </c>
      <c r="E302" s="136" t="s">
        <v>1571</v>
      </c>
      <c r="F302" s="419">
        <v>43100</v>
      </c>
      <c r="G302" s="140">
        <v>4434.1486489999998</v>
      </c>
      <c r="H302" s="140">
        <v>48</v>
      </c>
      <c r="I302" s="140">
        <v>11.137830000000001</v>
      </c>
      <c r="J302" s="140">
        <v>54.878850000000007</v>
      </c>
      <c r="K302" s="140">
        <v>2003.7472</v>
      </c>
      <c r="L302" s="140">
        <v>2161.8412699999999</v>
      </c>
      <c r="M302" s="143" t="s">
        <v>189</v>
      </c>
      <c r="N302" s="140">
        <v>36</v>
      </c>
      <c r="P302" s="608">
        <v>2003.7472</v>
      </c>
      <c r="Q302" s="141">
        <f t="shared" si="10"/>
        <v>0</v>
      </c>
    </row>
    <row r="303" spans="1:17" ht="52.5">
      <c r="A303" s="138" t="s">
        <v>2139</v>
      </c>
      <c r="B303" s="135" t="s">
        <v>2142</v>
      </c>
      <c r="C303" s="136" t="s">
        <v>1430</v>
      </c>
      <c r="D303" s="136" t="s">
        <v>1429</v>
      </c>
      <c r="E303" s="138" t="s">
        <v>1571</v>
      </c>
      <c r="F303" s="420">
        <v>43100</v>
      </c>
      <c r="G303" s="141">
        <v>4410.0899200000003</v>
      </c>
      <c r="H303" s="141">
        <v>7</v>
      </c>
      <c r="I303" s="142" t="s">
        <v>189</v>
      </c>
      <c r="J303" s="141">
        <v>5.7996100000000004</v>
      </c>
      <c r="K303" s="141">
        <v>179.21621000000002</v>
      </c>
      <c r="L303" s="141">
        <v>208.772099</v>
      </c>
      <c r="M303" s="142" t="s">
        <v>189</v>
      </c>
      <c r="N303" s="142" t="s">
        <v>189</v>
      </c>
      <c r="P303" s="610">
        <v>179.21621000000002</v>
      </c>
      <c r="Q303" s="141">
        <f t="shared" si="10"/>
        <v>0</v>
      </c>
    </row>
    <row r="304" spans="1:17">
      <c r="A304" s="136" t="s">
        <v>2141</v>
      </c>
      <c r="B304" s="137" t="s">
        <v>2144</v>
      </c>
      <c r="C304" s="138" t="s">
        <v>729</v>
      </c>
      <c r="D304" s="138" t="s">
        <v>726</v>
      </c>
      <c r="E304" s="136" t="s">
        <v>1571</v>
      </c>
      <c r="F304" s="419">
        <v>43100</v>
      </c>
      <c r="G304" s="140">
        <v>4401.9030300000004</v>
      </c>
      <c r="H304" s="140">
        <v>184</v>
      </c>
      <c r="I304" s="143" t="s">
        <v>189</v>
      </c>
      <c r="J304" s="140">
        <v>26.096109999999996</v>
      </c>
      <c r="K304" s="140">
        <v>4001.9995699999999</v>
      </c>
      <c r="L304" s="140">
        <v>4068.786889</v>
      </c>
      <c r="M304" s="143" t="s">
        <v>189</v>
      </c>
      <c r="N304" s="143" t="s">
        <v>189</v>
      </c>
      <c r="P304" s="608">
        <v>4001.9995699999999</v>
      </c>
      <c r="Q304" s="141">
        <f t="shared" si="10"/>
        <v>0</v>
      </c>
    </row>
    <row r="305" spans="1:17" ht="42">
      <c r="A305" s="138" t="s">
        <v>2143</v>
      </c>
      <c r="B305" s="135" t="s">
        <v>2146</v>
      </c>
      <c r="C305" s="136" t="s">
        <v>593</v>
      </c>
      <c r="D305" s="136" t="s">
        <v>596</v>
      </c>
      <c r="E305" s="138" t="s">
        <v>1571</v>
      </c>
      <c r="F305" s="420">
        <v>43100</v>
      </c>
      <c r="G305" s="141">
        <v>4368.2888199999998</v>
      </c>
      <c r="H305" s="141">
        <v>39</v>
      </c>
      <c r="I305" s="142" t="s">
        <v>189</v>
      </c>
      <c r="J305" s="141">
        <v>74.458209999999994</v>
      </c>
      <c r="K305" s="141">
        <v>1493.6140700000001</v>
      </c>
      <c r="L305" s="141">
        <v>1780.44658</v>
      </c>
      <c r="M305" s="142" t="s">
        <v>189</v>
      </c>
      <c r="N305" s="142" t="s">
        <v>189</v>
      </c>
      <c r="P305" s="610">
        <v>1493.6140700000001</v>
      </c>
      <c r="Q305" s="141">
        <f t="shared" si="10"/>
        <v>0</v>
      </c>
    </row>
    <row r="306" spans="1:17" ht="21">
      <c r="A306" s="136" t="s">
        <v>2145</v>
      </c>
      <c r="B306" s="137" t="s">
        <v>2148</v>
      </c>
      <c r="C306" s="138" t="s">
        <v>728</v>
      </c>
      <c r="D306" s="138" t="s">
        <v>726</v>
      </c>
      <c r="E306" s="136" t="s">
        <v>1571</v>
      </c>
      <c r="F306" s="419">
        <v>43100</v>
      </c>
      <c r="G306" s="140">
        <v>4326.68</v>
      </c>
      <c r="H306" s="140">
        <v>21</v>
      </c>
      <c r="I306" s="140">
        <v>68.472999999999999</v>
      </c>
      <c r="J306" s="140">
        <v>335.298</v>
      </c>
      <c r="K306" s="140">
        <v>903.197</v>
      </c>
      <c r="L306" s="140">
        <v>1402.9670000000001</v>
      </c>
      <c r="M306" s="143" t="s">
        <v>189</v>
      </c>
      <c r="N306" s="143" t="s">
        <v>189</v>
      </c>
      <c r="P306" s="608">
        <v>903.197</v>
      </c>
      <c r="Q306" s="141">
        <f t="shared" si="10"/>
        <v>0</v>
      </c>
    </row>
    <row r="307" spans="1:17" ht="42">
      <c r="A307" s="138" t="s">
        <v>2147</v>
      </c>
      <c r="B307" s="135" t="s">
        <v>2150</v>
      </c>
      <c r="C307" s="136" t="s">
        <v>1131</v>
      </c>
      <c r="D307" s="136" t="s">
        <v>1132</v>
      </c>
      <c r="E307" s="138" t="s">
        <v>1571</v>
      </c>
      <c r="F307" s="420">
        <v>43100</v>
      </c>
      <c r="G307" s="141">
        <v>4298.0361400000002</v>
      </c>
      <c r="H307" s="141">
        <v>8</v>
      </c>
      <c r="I307" s="141">
        <v>156.15817000000001</v>
      </c>
      <c r="J307" s="141">
        <v>529.13852000000009</v>
      </c>
      <c r="K307" s="141">
        <v>233.62297000000001</v>
      </c>
      <c r="L307" s="141">
        <v>920.47550000000001</v>
      </c>
      <c r="M307" s="141">
        <v>5</v>
      </c>
      <c r="N307" s="141">
        <v>9</v>
      </c>
      <c r="O307" s="211">
        <f t="shared" si="9"/>
        <v>0.35714285714285715</v>
      </c>
      <c r="P307" s="610">
        <v>233.62297000000001</v>
      </c>
      <c r="Q307" s="141">
        <f t="shared" si="10"/>
        <v>83.436775000000011</v>
      </c>
    </row>
    <row r="308" spans="1:17" ht="31.5">
      <c r="A308" s="136" t="s">
        <v>2149</v>
      </c>
      <c r="B308" s="137" t="s">
        <v>2152</v>
      </c>
      <c r="C308" s="138" t="s">
        <v>1346</v>
      </c>
      <c r="D308" s="138" t="s">
        <v>1366</v>
      </c>
      <c r="E308" s="136" t="s">
        <v>1571</v>
      </c>
      <c r="F308" s="419">
        <v>43100</v>
      </c>
      <c r="G308" s="140">
        <v>4291.7116499999993</v>
      </c>
      <c r="H308" s="140">
        <v>52</v>
      </c>
      <c r="I308" s="140">
        <v>54.017330000000001</v>
      </c>
      <c r="J308" s="140">
        <v>182.87385999999998</v>
      </c>
      <c r="K308" s="140">
        <v>2151.9619200000002</v>
      </c>
      <c r="L308" s="140">
        <v>2683.98801</v>
      </c>
      <c r="M308" s="140">
        <v>5</v>
      </c>
      <c r="N308" s="140">
        <v>37</v>
      </c>
      <c r="O308" s="211">
        <f t="shared" si="9"/>
        <v>0.11904761904761904</v>
      </c>
      <c r="P308" s="608">
        <v>2151.9619200000002</v>
      </c>
      <c r="Q308" s="141">
        <f t="shared" si="10"/>
        <v>256.18594285714289</v>
      </c>
    </row>
    <row r="309" spans="1:17">
      <c r="A309" s="138" t="s">
        <v>2151</v>
      </c>
      <c r="B309" s="135" t="s">
        <v>2154</v>
      </c>
      <c r="C309" s="136" t="s">
        <v>1306</v>
      </c>
      <c r="D309" s="136" t="s">
        <v>969</v>
      </c>
      <c r="E309" s="138" t="s">
        <v>1571</v>
      </c>
      <c r="F309" s="420">
        <v>43100</v>
      </c>
      <c r="G309" s="141">
        <v>4248.7216199999993</v>
      </c>
      <c r="H309" s="141">
        <v>17</v>
      </c>
      <c r="I309" s="141"/>
      <c r="J309" s="141">
        <v>618.90822000000003</v>
      </c>
      <c r="K309" s="141">
        <v>1033.21967</v>
      </c>
      <c r="L309" s="141">
        <v>2225.9595800000002</v>
      </c>
      <c r="M309" s="141">
        <v>3</v>
      </c>
      <c r="N309" s="141">
        <v>6</v>
      </c>
      <c r="O309" s="211">
        <f t="shared" si="9"/>
        <v>0.33333333333333331</v>
      </c>
      <c r="P309" s="610">
        <v>1033.21967</v>
      </c>
      <c r="Q309" s="141">
        <f t="shared" si="10"/>
        <v>344.40655666666663</v>
      </c>
    </row>
    <row r="310" spans="1:17">
      <c r="A310" s="136" t="s">
        <v>2153</v>
      </c>
      <c r="B310" s="137" t="s">
        <v>2156</v>
      </c>
      <c r="C310" s="138" t="s">
        <v>1134</v>
      </c>
      <c r="D310" s="138" t="s">
        <v>1135</v>
      </c>
      <c r="E310" s="136" t="s">
        <v>1571</v>
      </c>
      <c r="F310" s="419">
        <v>43100</v>
      </c>
      <c r="G310" s="140">
        <v>4204.2919680000005</v>
      </c>
      <c r="H310" s="140">
        <v>2</v>
      </c>
      <c r="I310" s="143" t="s">
        <v>189</v>
      </c>
      <c r="J310" s="140">
        <v>156.21722</v>
      </c>
      <c r="K310" s="140">
        <v>65.289590000000004</v>
      </c>
      <c r="L310" s="140">
        <v>257.02715000000001</v>
      </c>
      <c r="M310" s="143" t="s">
        <v>189</v>
      </c>
      <c r="N310" s="143" t="s">
        <v>189</v>
      </c>
      <c r="P310" s="608">
        <v>65.289590000000004</v>
      </c>
      <c r="Q310" s="141">
        <f t="shared" si="10"/>
        <v>0</v>
      </c>
    </row>
    <row r="311" spans="1:17" ht="63">
      <c r="A311" s="138" t="s">
        <v>2155</v>
      </c>
      <c r="B311" s="135" t="s">
        <v>2158</v>
      </c>
      <c r="C311" s="136" t="s">
        <v>1440</v>
      </c>
      <c r="D311" s="136" t="s">
        <v>969</v>
      </c>
      <c r="E311" s="138" t="s">
        <v>1571</v>
      </c>
      <c r="F311" s="420">
        <v>42735</v>
      </c>
      <c r="G311" s="141">
        <v>4192.1078600000001</v>
      </c>
      <c r="H311" s="141">
        <v>50</v>
      </c>
      <c r="I311" s="141">
        <v>128.77189999999999</v>
      </c>
      <c r="J311" s="141">
        <v>344.52113999999995</v>
      </c>
      <c r="K311" s="141">
        <v>1556.16434</v>
      </c>
      <c r="L311" s="141">
        <v>2062.50929</v>
      </c>
      <c r="M311" s="142" t="s">
        <v>189</v>
      </c>
      <c r="N311" s="142" t="s">
        <v>189</v>
      </c>
      <c r="P311" s="610">
        <v>1556.16434</v>
      </c>
      <c r="Q311" s="141">
        <f t="shared" si="10"/>
        <v>0</v>
      </c>
    </row>
    <row r="312" spans="1:17">
      <c r="A312" s="136" t="s">
        <v>2157</v>
      </c>
      <c r="B312" s="137" t="s">
        <v>2160</v>
      </c>
      <c r="C312" s="138" t="s">
        <v>1351</v>
      </c>
      <c r="D312" s="138" t="s">
        <v>1341</v>
      </c>
      <c r="E312" s="136" t="s">
        <v>1571</v>
      </c>
      <c r="F312" s="419">
        <v>43100</v>
      </c>
      <c r="G312" s="140">
        <v>4188.4225999999999</v>
      </c>
      <c r="H312" s="140">
        <v>12</v>
      </c>
      <c r="I312" s="140">
        <v>42.899029999999996</v>
      </c>
      <c r="J312" s="140">
        <v>135.84691999999998</v>
      </c>
      <c r="K312" s="140">
        <v>423.49743999999998</v>
      </c>
      <c r="L312" s="140">
        <v>621.452268</v>
      </c>
      <c r="M312" s="143" t="s">
        <v>189</v>
      </c>
      <c r="N312" s="143" t="s">
        <v>189</v>
      </c>
      <c r="P312" s="608">
        <v>423.49743999999998</v>
      </c>
      <c r="Q312" s="141">
        <f t="shared" si="10"/>
        <v>0</v>
      </c>
    </row>
    <row r="313" spans="1:17" ht="21">
      <c r="A313" s="138" t="s">
        <v>2159</v>
      </c>
      <c r="B313" s="135" t="s">
        <v>2162</v>
      </c>
      <c r="C313" s="136" t="s">
        <v>1359</v>
      </c>
      <c r="D313" s="136" t="s">
        <v>1343</v>
      </c>
      <c r="E313" s="138" t="s">
        <v>1571</v>
      </c>
      <c r="F313" s="420">
        <v>43100</v>
      </c>
      <c r="G313" s="141">
        <v>4186.73668</v>
      </c>
      <c r="H313" s="141">
        <v>12</v>
      </c>
      <c r="I313" s="141">
        <v>49.146510000000006</v>
      </c>
      <c r="J313" s="141">
        <v>160.70714000000001</v>
      </c>
      <c r="K313" s="141">
        <v>815.50727999999992</v>
      </c>
      <c r="L313" s="141">
        <v>1100.7321800000002</v>
      </c>
      <c r="M313" s="142" t="s">
        <v>189</v>
      </c>
      <c r="N313" s="142" t="s">
        <v>189</v>
      </c>
      <c r="P313" s="610">
        <v>815.50727999999992</v>
      </c>
      <c r="Q313" s="141">
        <f t="shared" si="10"/>
        <v>0</v>
      </c>
    </row>
    <row r="314" spans="1:17" ht="31.5">
      <c r="A314" s="136" t="s">
        <v>2161</v>
      </c>
      <c r="B314" s="137" t="s">
        <v>2164</v>
      </c>
      <c r="C314" s="138" t="s">
        <v>1505</v>
      </c>
      <c r="D314" s="138" t="s">
        <v>232</v>
      </c>
      <c r="E314" s="136" t="s">
        <v>1571</v>
      </c>
      <c r="F314" s="419">
        <v>43100</v>
      </c>
      <c r="G314" s="140">
        <v>4099.2858499999993</v>
      </c>
      <c r="H314" s="140">
        <v>41</v>
      </c>
      <c r="I314" s="140">
        <v>-141.50332999999998</v>
      </c>
      <c r="J314" s="140">
        <v>699.00188000000003</v>
      </c>
      <c r="K314" s="140">
        <v>1771.2548999999999</v>
      </c>
      <c r="L314" s="140">
        <v>2679.0061000000001</v>
      </c>
      <c r="M314" s="143" t="s">
        <v>189</v>
      </c>
      <c r="N314" s="143" t="s">
        <v>189</v>
      </c>
      <c r="P314" s="608">
        <v>1771.2548999999999</v>
      </c>
      <c r="Q314" s="141">
        <f t="shared" si="10"/>
        <v>0</v>
      </c>
    </row>
    <row r="315" spans="1:17" ht="42">
      <c r="A315" s="138" t="s">
        <v>2163</v>
      </c>
      <c r="B315" s="135" t="s">
        <v>2166</v>
      </c>
      <c r="C315" s="136" t="s">
        <v>1159</v>
      </c>
      <c r="D315" s="136" t="s">
        <v>1156</v>
      </c>
      <c r="E315" s="138" t="s">
        <v>1571</v>
      </c>
      <c r="F315" s="420">
        <v>43100</v>
      </c>
      <c r="G315" s="141">
        <v>4096.4881189999996</v>
      </c>
      <c r="H315" s="141">
        <v>10</v>
      </c>
      <c r="I315" s="141">
        <v>47.956380000000003</v>
      </c>
      <c r="J315" s="141">
        <v>123.3164</v>
      </c>
      <c r="K315" s="141">
        <v>524.25837000000001</v>
      </c>
      <c r="L315" s="141">
        <v>697.20927999999992</v>
      </c>
      <c r="M315" s="141">
        <v>4</v>
      </c>
      <c r="N315" s="141">
        <v>4</v>
      </c>
      <c r="O315" s="211">
        <f t="shared" si="9"/>
        <v>0.5</v>
      </c>
      <c r="P315" s="610">
        <v>524.25837000000001</v>
      </c>
      <c r="Q315" s="141">
        <f t="shared" si="10"/>
        <v>262.12918500000001</v>
      </c>
    </row>
    <row r="316" spans="1:17">
      <c r="A316" s="136" t="s">
        <v>2165</v>
      </c>
      <c r="B316" s="137" t="s">
        <v>2168</v>
      </c>
      <c r="C316" s="138" t="s">
        <v>781</v>
      </c>
      <c r="D316" s="138" t="s">
        <v>782</v>
      </c>
      <c r="E316" s="136" t="s">
        <v>1571</v>
      </c>
      <c r="F316" s="419">
        <v>43100</v>
      </c>
      <c r="G316" s="140">
        <v>4092.9360699999997</v>
      </c>
      <c r="H316" s="140">
        <v>36</v>
      </c>
      <c r="I316" s="140"/>
      <c r="J316" s="140">
        <v>143.29311000000001</v>
      </c>
      <c r="K316" s="140">
        <v>1415.54223</v>
      </c>
      <c r="L316" s="140">
        <v>1855.2793800000002</v>
      </c>
      <c r="M316" s="143" t="s">
        <v>189</v>
      </c>
      <c r="N316" s="143" t="s">
        <v>189</v>
      </c>
      <c r="P316" s="608">
        <v>1415.54223</v>
      </c>
      <c r="Q316" s="141">
        <f t="shared" si="10"/>
        <v>0</v>
      </c>
    </row>
    <row r="317" spans="1:17" ht="21">
      <c r="A317" s="138" t="s">
        <v>2167</v>
      </c>
      <c r="B317" s="135" t="s">
        <v>2170</v>
      </c>
      <c r="C317" s="136" t="s">
        <v>630</v>
      </c>
      <c r="D317" s="136" t="s">
        <v>1825</v>
      </c>
      <c r="E317" s="138" t="s">
        <v>1571</v>
      </c>
      <c r="F317" s="420">
        <v>43100</v>
      </c>
      <c r="G317" s="141">
        <v>4087.8291800000002</v>
      </c>
      <c r="H317" s="141">
        <v>7</v>
      </c>
      <c r="I317" s="141">
        <v>133.93101000000001</v>
      </c>
      <c r="J317" s="141">
        <v>468.82208000000003</v>
      </c>
      <c r="K317" s="141">
        <v>446.25946000000005</v>
      </c>
      <c r="L317" s="141">
        <v>1070.0330100000001</v>
      </c>
      <c r="M317" s="142" t="s">
        <v>189</v>
      </c>
      <c r="N317" s="142" t="s">
        <v>189</v>
      </c>
      <c r="P317" s="610">
        <v>446.25946000000005</v>
      </c>
      <c r="Q317" s="141">
        <f t="shared" si="10"/>
        <v>0</v>
      </c>
    </row>
    <row r="318" spans="1:17" ht="21">
      <c r="A318" s="136" t="s">
        <v>2169</v>
      </c>
      <c r="B318" s="137" t="s">
        <v>2172</v>
      </c>
      <c r="C318" s="138" t="s">
        <v>912</v>
      </c>
      <c r="D318" s="138" t="s">
        <v>811</v>
      </c>
      <c r="E318" s="136" t="s">
        <v>1571</v>
      </c>
      <c r="F318" s="419">
        <v>43100</v>
      </c>
      <c r="G318" s="140">
        <v>4034.0891099999999</v>
      </c>
      <c r="H318" s="140">
        <v>4</v>
      </c>
      <c r="I318" s="140">
        <v>30.272570000000002</v>
      </c>
      <c r="J318" s="140">
        <v>115.76339</v>
      </c>
      <c r="K318" s="140">
        <v>90.693770000000001</v>
      </c>
      <c r="L318" s="140">
        <v>255.07756000000001</v>
      </c>
      <c r="M318" s="140">
        <v>6</v>
      </c>
      <c r="N318" s="140">
        <v>20</v>
      </c>
      <c r="O318" s="211">
        <f t="shared" si="9"/>
        <v>0.23076923076923078</v>
      </c>
      <c r="P318" s="608">
        <v>90.693770000000001</v>
      </c>
      <c r="Q318" s="141">
        <f t="shared" si="10"/>
        <v>20.92933153846154</v>
      </c>
    </row>
    <row r="319" spans="1:17" ht="21">
      <c r="A319" s="138" t="s">
        <v>2171</v>
      </c>
      <c r="B319" s="135" t="s">
        <v>2174</v>
      </c>
      <c r="C319" s="136" t="s">
        <v>1050</v>
      </c>
      <c r="D319" s="136" t="s">
        <v>971</v>
      </c>
      <c r="E319" s="138" t="s">
        <v>1571</v>
      </c>
      <c r="F319" s="420">
        <v>43100</v>
      </c>
      <c r="G319" s="141">
        <v>4026.6190200000001</v>
      </c>
      <c r="H319" s="141">
        <v>30</v>
      </c>
      <c r="I319" s="142" t="s">
        <v>189</v>
      </c>
      <c r="J319" s="141">
        <v>19.998169999999998</v>
      </c>
      <c r="K319" s="141">
        <v>781.17266000000006</v>
      </c>
      <c r="L319" s="141">
        <v>875.61599999999999</v>
      </c>
      <c r="M319" s="142" t="s">
        <v>189</v>
      </c>
      <c r="N319" s="142" t="s">
        <v>189</v>
      </c>
      <c r="P319" s="610">
        <v>781.17266000000006</v>
      </c>
      <c r="Q319" s="141">
        <f t="shared" si="10"/>
        <v>0</v>
      </c>
    </row>
    <row r="320" spans="1:17" ht="31.5">
      <c r="A320" s="136" t="s">
        <v>2173</v>
      </c>
      <c r="B320" s="137" t="s">
        <v>2176</v>
      </c>
      <c r="C320" s="138" t="s">
        <v>1012</v>
      </c>
      <c r="D320" s="138" t="s">
        <v>1013</v>
      </c>
      <c r="E320" s="136" t="s">
        <v>1571</v>
      </c>
      <c r="F320" s="419">
        <v>42735</v>
      </c>
      <c r="G320" s="140">
        <v>4021.13958</v>
      </c>
      <c r="H320" s="140">
        <v>15</v>
      </c>
      <c r="I320" s="140">
        <v>15.60937</v>
      </c>
      <c r="J320" s="140">
        <v>44.048689999999993</v>
      </c>
      <c r="K320" s="140">
        <v>495.61675000000002</v>
      </c>
      <c r="L320" s="140">
        <v>596.04336000000012</v>
      </c>
      <c r="M320" s="143" t="s">
        <v>189</v>
      </c>
      <c r="N320" s="143" t="s">
        <v>189</v>
      </c>
      <c r="P320" s="608">
        <v>495.61675000000002</v>
      </c>
      <c r="Q320" s="141">
        <f t="shared" si="10"/>
        <v>0</v>
      </c>
    </row>
    <row r="321" spans="1:17">
      <c r="A321" s="138" t="s">
        <v>2175</v>
      </c>
      <c r="B321" s="135" t="s">
        <v>2178</v>
      </c>
      <c r="C321" s="136" t="s">
        <v>1051</v>
      </c>
      <c r="D321" s="136" t="s">
        <v>971</v>
      </c>
      <c r="E321" s="138" t="s">
        <v>1571</v>
      </c>
      <c r="F321" s="420">
        <v>42735</v>
      </c>
      <c r="G321" s="141">
        <v>4016.25819</v>
      </c>
      <c r="H321" s="141">
        <v>12</v>
      </c>
      <c r="I321" s="142" t="s">
        <v>189</v>
      </c>
      <c r="J321" s="141">
        <v>98.305689999999998</v>
      </c>
      <c r="K321" s="141">
        <v>265.69225</v>
      </c>
      <c r="L321" s="141">
        <v>398.52313999999996</v>
      </c>
      <c r="M321" s="142" t="s">
        <v>189</v>
      </c>
      <c r="N321" s="142" t="s">
        <v>189</v>
      </c>
      <c r="P321" s="610">
        <v>265.69225</v>
      </c>
      <c r="Q321" s="141">
        <f t="shared" si="10"/>
        <v>0</v>
      </c>
    </row>
    <row r="322" spans="1:17">
      <c r="A322" s="136" t="s">
        <v>2177</v>
      </c>
      <c r="B322" s="137" t="s">
        <v>2180</v>
      </c>
      <c r="C322" s="138" t="s">
        <v>1097</v>
      </c>
      <c r="D322" s="138" t="s">
        <v>969</v>
      </c>
      <c r="E322" s="136" t="s">
        <v>1571</v>
      </c>
      <c r="F322" s="419">
        <v>43100</v>
      </c>
      <c r="G322" s="140">
        <v>3980.3029499999998</v>
      </c>
      <c r="H322" s="140">
        <v>8</v>
      </c>
      <c r="I322" s="140">
        <v>71.656800000000004</v>
      </c>
      <c r="J322" s="140">
        <v>254.91320000000002</v>
      </c>
      <c r="K322" s="140">
        <v>294.07514999999995</v>
      </c>
      <c r="L322" s="140">
        <v>633.13046999999995</v>
      </c>
      <c r="M322" s="143" t="s">
        <v>189</v>
      </c>
      <c r="N322" s="143" t="s">
        <v>189</v>
      </c>
      <c r="P322" s="608">
        <v>294.07514999999995</v>
      </c>
      <c r="Q322" s="141">
        <f t="shared" si="10"/>
        <v>0</v>
      </c>
    </row>
    <row r="323" spans="1:17" ht="42">
      <c r="A323" s="138" t="s">
        <v>2179</v>
      </c>
      <c r="B323" s="135" t="s">
        <v>2182</v>
      </c>
      <c r="C323" s="136" t="s">
        <v>1382</v>
      </c>
      <c r="D323" s="136" t="s">
        <v>1797</v>
      </c>
      <c r="E323" s="138" t="s">
        <v>1571</v>
      </c>
      <c r="F323" s="420">
        <v>43100</v>
      </c>
      <c r="G323" s="141">
        <v>3927.3558099999996</v>
      </c>
      <c r="H323" s="141">
        <v>22</v>
      </c>
      <c r="I323" s="141">
        <v>62.038950000000007</v>
      </c>
      <c r="J323" s="141">
        <v>296.98863</v>
      </c>
      <c r="K323" s="141">
        <v>998.57997</v>
      </c>
      <c r="L323" s="141">
        <v>1510.4154599999999</v>
      </c>
      <c r="M323" s="142" t="s">
        <v>189</v>
      </c>
      <c r="N323" s="142" t="s">
        <v>189</v>
      </c>
      <c r="P323" s="610">
        <v>998.57997</v>
      </c>
      <c r="Q323" s="141">
        <f t="shared" si="10"/>
        <v>0</v>
      </c>
    </row>
    <row r="324" spans="1:17" ht="42">
      <c r="A324" s="136" t="s">
        <v>2181</v>
      </c>
      <c r="B324" s="137" t="s">
        <v>2184</v>
      </c>
      <c r="C324" s="138" t="s">
        <v>1057</v>
      </c>
      <c r="D324" s="138" t="s">
        <v>971</v>
      </c>
      <c r="E324" s="136" t="s">
        <v>1571</v>
      </c>
      <c r="F324" s="419">
        <v>43100</v>
      </c>
      <c r="G324" s="140">
        <v>3893.8222600000004</v>
      </c>
      <c r="H324" s="140">
        <v>3</v>
      </c>
      <c r="I324" s="140">
        <v>41.813420000000001</v>
      </c>
      <c r="J324" s="140">
        <v>175.96481999999997</v>
      </c>
      <c r="K324" s="140">
        <v>244.86769000000001</v>
      </c>
      <c r="L324" s="140">
        <v>463.33815999999996</v>
      </c>
      <c r="M324" s="143" t="s">
        <v>189</v>
      </c>
      <c r="N324" s="143" t="s">
        <v>189</v>
      </c>
      <c r="P324" s="608">
        <v>244.86769000000001</v>
      </c>
      <c r="Q324" s="141">
        <f t="shared" si="10"/>
        <v>0</v>
      </c>
    </row>
    <row r="325" spans="1:17" ht="21">
      <c r="A325" s="138" t="s">
        <v>2183</v>
      </c>
      <c r="B325" s="135" t="s">
        <v>2186</v>
      </c>
      <c r="C325" s="136" t="s">
        <v>1515</v>
      </c>
      <c r="D325" s="136" t="s">
        <v>1501</v>
      </c>
      <c r="E325" s="138" t="s">
        <v>1571</v>
      </c>
      <c r="F325" s="420">
        <v>43100</v>
      </c>
      <c r="G325" s="141">
        <v>3877.5011</v>
      </c>
      <c r="H325" s="141">
        <v>25</v>
      </c>
      <c r="I325" s="141">
        <v>46.383269999999996</v>
      </c>
      <c r="J325" s="141">
        <v>100.62019000000001</v>
      </c>
      <c r="K325" s="141">
        <v>924.04561999999999</v>
      </c>
      <c r="L325" s="141">
        <v>1089.8874900000001</v>
      </c>
      <c r="M325" s="142" t="s">
        <v>189</v>
      </c>
      <c r="N325" s="142" t="s">
        <v>189</v>
      </c>
      <c r="P325" s="610">
        <v>924.04561999999999</v>
      </c>
      <c r="Q325" s="141">
        <f t="shared" si="10"/>
        <v>0</v>
      </c>
    </row>
    <row r="326" spans="1:17" ht="31.5">
      <c r="A326" s="136" t="s">
        <v>2185</v>
      </c>
      <c r="B326" s="137" t="s">
        <v>2188</v>
      </c>
      <c r="C326" s="138" t="s">
        <v>758</v>
      </c>
      <c r="D326" s="138" t="s">
        <v>753</v>
      </c>
      <c r="E326" s="136" t="s">
        <v>1571</v>
      </c>
      <c r="F326" s="419">
        <v>43100</v>
      </c>
      <c r="G326" s="140">
        <v>3812.6496499999998</v>
      </c>
      <c r="H326" s="140">
        <v>27</v>
      </c>
      <c r="I326" s="140">
        <v>8.8925300000000007</v>
      </c>
      <c r="J326" s="140">
        <v>58.475099999999998</v>
      </c>
      <c r="K326" s="140">
        <v>762.66624999999999</v>
      </c>
      <c r="L326" s="140">
        <v>871.46563000000003</v>
      </c>
      <c r="M326" s="140">
        <v>1</v>
      </c>
      <c r="N326" s="140">
        <v>20</v>
      </c>
      <c r="O326" s="211">
        <f t="shared" si="9"/>
        <v>4.7619047619047616E-2</v>
      </c>
      <c r="P326" s="608">
        <v>762.66624999999999</v>
      </c>
      <c r="Q326" s="141">
        <f t="shared" si="10"/>
        <v>36.317440476190477</v>
      </c>
    </row>
    <row r="327" spans="1:17" ht="21">
      <c r="A327" s="138" t="s">
        <v>2187</v>
      </c>
      <c r="B327" s="135" t="s">
        <v>2190</v>
      </c>
      <c r="C327" s="136" t="s">
        <v>624</v>
      </c>
      <c r="D327" s="136" t="s">
        <v>596</v>
      </c>
      <c r="E327" s="138" t="s">
        <v>1571</v>
      </c>
      <c r="F327" s="420">
        <v>43100</v>
      </c>
      <c r="G327" s="141">
        <v>3805.2356600000003</v>
      </c>
      <c r="H327" s="141">
        <v>5</v>
      </c>
      <c r="I327" s="141">
        <v>127.48889</v>
      </c>
      <c r="J327" s="141">
        <v>403.0523</v>
      </c>
      <c r="K327" s="141">
        <v>315.95888000000002</v>
      </c>
      <c r="L327" s="141">
        <v>897.01492900000005</v>
      </c>
      <c r="M327" s="142" t="s">
        <v>189</v>
      </c>
      <c r="N327" s="142" t="s">
        <v>189</v>
      </c>
      <c r="P327" s="610">
        <v>315.95888000000002</v>
      </c>
      <c r="Q327" s="141">
        <f t="shared" si="10"/>
        <v>0</v>
      </c>
    </row>
    <row r="328" spans="1:17" ht="31.5">
      <c r="A328" s="136" t="s">
        <v>2189</v>
      </c>
      <c r="B328" s="137" t="s">
        <v>2192</v>
      </c>
      <c r="C328" s="138" t="s">
        <v>1257</v>
      </c>
      <c r="D328" s="138" t="s">
        <v>1251</v>
      </c>
      <c r="E328" s="136" t="s">
        <v>1571</v>
      </c>
      <c r="F328" s="419">
        <v>43100</v>
      </c>
      <c r="G328" s="140">
        <v>3797.4173599999999</v>
      </c>
      <c r="H328" s="140">
        <v>17</v>
      </c>
      <c r="I328" s="140">
        <v>61.481389999999998</v>
      </c>
      <c r="J328" s="140">
        <v>327.88731000000001</v>
      </c>
      <c r="K328" s="140">
        <v>671.32397000000003</v>
      </c>
      <c r="L328" s="140">
        <v>1195.1361000000002</v>
      </c>
      <c r="M328" s="143" t="s">
        <v>189</v>
      </c>
      <c r="N328" s="143" t="s">
        <v>189</v>
      </c>
      <c r="P328" s="608">
        <v>671.32397000000003</v>
      </c>
      <c r="Q328" s="141">
        <f t="shared" si="10"/>
        <v>0</v>
      </c>
    </row>
    <row r="329" spans="1:17" ht="21">
      <c r="A329" s="138" t="s">
        <v>2191</v>
      </c>
      <c r="B329" s="135" t="s">
        <v>2194</v>
      </c>
      <c r="C329" s="136" t="s">
        <v>834</v>
      </c>
      <c r="D329" s="136" t="s">
        <v>811</v>
      </c>
      <c r="E329" s="138" t="s">
        <v>1571</v>
      </c>
      <c r="F329" s="420">
        <v>43100</v>
      </c>
      <c r="G329" s="141">
        <v>3756.0044099999996</v>
      </c>
      <c r="H329" s="141">
        <v>33</v>
      </c>
      <c r="I329" s="141">
        <v>54.793500000000002</v>
      </c>
      <c r="J329" s="141">
        <v>240.68096</v>
      </c>
      <c r="K329" s="141">
        <v>1602.9083400000002</v>
      </c>
      <c r="L329" s="141">
        <v>2027.7403600000002</v>
      </c>
      <c r="M329" s="141">
        <v>7</v>
      </c>
      <c r="N329" s="141">
        <v>19</v>
      </c>
      <c r="O329" s="211">
        <f t="shared" si="9"/>
        <v>0.26923076923076922</v>
      </c>
      <c r="P329" s="610">
        <v>1602.9083400000002</v>
      </c>
      <c r="Q329" s="141">
        <f t="shared" si="10"/>
        <v>431.55224538461539</v>
      </c>
    </row>
    <row r="330" spans="1:17" ht="31.5">
      <c r="A330" s="136" t="s">
        <v>2193</v>
      </c>
      <c r="B330" s="137" t="s">
        <v>2196</v>
      </c>
      <c r="C330" s="138" t="s">
        <v>1122</v>
      </c>
      <c r="D330" s="138" t="s">
        <v>1112</v>
      </c>
      <c r="E330" s="136" t="s">
        <v>1571</v>
      </c>
      <c r="F330" s="419">
        <v>43100</v>
      </c>
      <c r="G330" s="140">
        <v>3752.4116899999999</v>
      </c>
      <c r="H330" s="140">
        <v>12</v>
      </c>
      <c r="I330" s="140">
        <v>22.685209999999998</v>
      </c>
      <c r="J330" s="140">
        <v>71.836500000000001</v>
      </c>
      <c r="K330" s="140">
        <v>671.93630000000007</v>
      </c>
      <c r="L330" s="140">
        <v>768.50446000000011</v>
      </c>
      <c r="M330" s="143" t="s">
        <v>189</v>
      </c>
      <c r="N330" s="143" t="s">
        <v>189</v>
      </c>
      <c r="P330" s="608">
        <v>671.93630000000007</v>
      </c>
      <c r="Q330" s="141">
        <f t="shared" si="10"/>
        <v>0</v>
      </c>
    </row>
    <row r="331" spans="1:17">
      <c r="A331" s="138" t="s">
        <v>2195</v>
      </c>
      <c r="B331" s="135" t="s">
        <v>2198</v>
      </c>
      <c r="C331" s="136" t="s">
        <v>677</v>
      </c>
      <c r="D331" s="136" t="s">
        <v>673</v>
      </c>
      <c r="E331" s="138" t="s">
        <v>1571</v>
      </c>
      <c r="F331" s="420">
        <v>43100</v>
      </c>
      <c r="G331" s="141">
        <v>3745.3306499999999</v>
      </c>
      <c r="H331" s="141">
        <v>11</v>
      </c>
      <c r="I331" s="141">
        <v>25.923549999999999</v>
      </c>
      <c r="J331" s="141">
        <v>137.45325</v>
      </c>
      <c r="K331" s="141">
        <v>445.12281999999999</v>
      </c>
      <c r="L331" s="141">
        <v>641.20366999999999</v>
      </c>
      <c r="M331" s="142" t="s">
        <v>189</v>
      </c>
      <c r="N331" s="142" t="s">
        <v>189</v>
      </c>
      <c r="P331" s="610">
        <v>445.12281999999999</v>
      </c>
      <c r="Q331" s="141">
        <f t="shared" si="10"/>
        <v>0</v>
      </c>
    </row>
    <row r="332" spans="1:17" ht="31.5">
      <c r="A332" s="136" t="s">
        <v>2197</v>
      </c>
      <c r="B332" s="137" t="s">
        <v>2200</v>
      </c>
      <c r="C332" s="138" t="s">
        <v>1212</v>
      </c>
      <c r="D332" s="138" t="s">
        <v>1208</v>
      </c>
      <c r="E332" s="136" t="s">
        <v>1571</v>
      </c>
      <c r="F332" s="419">
        <v>43100</v>
      </c>
      <c r="G332" s="140">
        <v>3730.72327</v>
      </c>
      <c r="H332" s="140">
        <v>14</v>
      </c>
      <c r="I332" s="140">
        <v>117.19306</v>
      </c>
      <c r="J332" s="140">
        <v>376.50196000000005</v>
      </c>
      <c r="K332" s="140">
        <v>473.32294000000002</v>
      </c>
      <c r="L332" s="140">
        <v>995.55424000000005</v>
      </c>
      <c r="M332" s="143" t="s">
        <v>189</v>
      </c>
      <c r="N332" s="143" t="s">
        <v>189</v>
      </c>
      <c r="P332" s="608">
        <v>473.32294000000002</v>
      </c>
      <c r="Q332" s="141">
        <f t="shared" si="10"/>
        <v>0</v>
      </c>
    </row>
    <row r="333" spans="1:17">
      <c r="A333" s="138" t="s">
        <v>2199</v>
      </c>
      <c r="B333" s="135" t="s">
        <v>2202</v>
      </c>
      <c r="C333" s="136" t="s">
        <v>1506</v>
      </c>
      <c r="D333" s="136" t="s">
        <v>1501</v>
      </c>
      <c r="E333" s="138" t="s">
        <v>1571</v>
      </c>
      <c r="F333" s="420">
        <v>43100</v>
      </c>
      <c r="G333" s="141">
        <v>3711.81765</v>
      </c>
      <c r="H333" s="141">
        <v>20</v>
      </c>
      <c r="I333" s="141">
        <v>26.207980000000003</v>
      </c>
      <c r="J333" s="141">
        <v>316.47000000000003</v>
      </c>
      <c r="K333" s="141">
        <v>865.22231000000011</v>
      </c>
      <c r="L333" s="141">
        <v>1421.2821680000002</v>
      </c>
      <c r="M333" s="142" t="s">
        <v>189</v>
      </c>
      <c r="N333" s="142" t="s">
        <v>189</v>
      </c>
      <c r="P333" s="610">
        <v>865.22231000000011</v>
      </c>
      <c r="Q333" s="141">
        <f t="shared" si="10"/>
        <v>0</v>
      </c>
    </row>
    <row r="334" spans="1:17" ht="31.5">
      <c r="A334" s="136" t="s">
        <v>2201</v>
      </c>
      <c r="B334" s="137" t="s">
        <v>2204</v>
      </c>
      <c r="C334" s="138" t="s">
        <v>1304</v>
      </c>
      <c r="D334" s="138" t="s">
        <v>1229</v>
      </c>
      <c r="E334" s="136" t="s">
        <v>1571</v>
      </c>
      <c r="F334" s="419">
        <v>43100</v>
      </c>
      <c r="G334" s="140">
        <v>3701.6892200000002</v>
      </c>
      <c r="H334" s="143" t="s">
        <v>189</v>
      </c>
      <c r="I334" s="140"/>
      <c r="J334" s="140">
        <v>54.602350000000008</v>
      </c>
      <c r="K334" s="140">
        <v>1326.9523600000002</v>
      </c>
      <c r="L334" s="140">
        <v>1418.93163</v>
      </c>
      <c r="M334" s="143" t="s">
        <v>189</v>
      </c>
      <c r="N334" s="143" t="s">
        <v>189</v>
      </c>
      <c r="P334" s="608">
        <v>1326.9523600000002</v>
      </c>
      <c r="Q334" s="141">
        <f t="shared" si="10"/>
        <v>0</v>
      </c>
    </row>
    <row r="335" spans="1:17" ht="21">
      <c r="A335" s="138" t="s">
        <v>2203</v>
      </c>
      <c r="B335" s="135" t="s">
        <v>2206</v>
      </c>
      <c r="C335" s="136" t="s">
        <v>991</v>
      </c>
      <c r="D335" s="136" t="s">
        <v>975</v>
      </c>
      <c r="E335" s="138" t="s">
        <v>1571</v>
      </c>
      <c r="F335" s="420">
        <v>43100</v>
      </c>
      <c r="G335" s="141">
        <v>3660.7863099999995</v>
      </c>
      <c r="H335" s="141">
        <v>19</v>
      </c>
      <c r="I335" s="141">
        <v>187.49149</v>
      </c>
      <c r="J335" s="141">
        <v>571.72212000000002</v>
      </c>
      <c r="K335" s="141">
        <v>1094.18289</v>
      </c>
      <c r="L335" s="141">
        <v>1904.7532700000002</v>
      </c>
      <c r="M335" s="142" t="s">
        <v>189</v>
      </c>
      <c r="N335" s="142" t="s">
        <v>189</v>
      </c>
      <c r="P335" s="610">
        <v>1094.18289</v>
      </c>
      <c r="Q335" s="141">
        <f t="shared" si="10"/>
        <v>0</v>
      </c>
    </row>
    <row r="336" spans="1:17" ht="21">
      <c r="A336" s="136" t="s">
        <v>2205</v>
      </c>
      <c r="B336" s="137" t="s">
        <v>2208</v>
      </c>
      <c r="C336" s="138" t="s">
        <v>1261</v>
      </c>
      <c r="D336" s="138" t="s">
        <v>1251</v>
      </c>
      <c r="E336" s="136" t="s">
        <v>1571</v>
      </c>
      <c r="F336" s="419">
        <v>43100</v>
      </c>
      <c r="G336" s="140">
        <v>3656.55188</v>
      </c>
      <c r="H336" s="143" t="s">
        <v>189</v>
      </c>
      <c r="I336" s="140">
        <v>11.283569999999999</v>
      </c>
      <c r="J336" s="140">
        <v>316.2011</v>
      </c>
      <c r="K336" s="140">
        <v>654.61297000000002</v>
      </c>
      <c r="L336" s="140">
        <v>1058.26026</v>
      </c>
      <c r="M336" s="143" t="s">
        <v>189</v>
      </c>
      <c r="N336" s="143" t="s">
        <v>189</v>
      </c>
      <c r="P336" s="608">
        <v>654.61297000000002</v>
      </c>
      <c r="Q336" s="141">
        <f t="shared" si="10"/>
        <v>0</v>
      </c>
    </row>
    <row r="337" spans="1:17">
      <c r="A337" s="138" t="s">
        <v>2207</v>
      </c>
      <c r="B337" s="135" t="s">
        <v>2210</v>
      </c>
      <c r="C337" s="136" t="s">
        <v>672</v>
      </c>
      <c r="D337" s="136" t="s">
        <v>673</v>
      </c>
      <c r="E337" s="138" t="s">
        <v>1571</v>
      </c>
      <c r="F337" s="420">
        <v>43100</v>
      </c>
      <c r="G337" s="141">
        <v>3648.54855</v>
      </c>
      <c r="H337" s="141">
        <v>25</v>
      </c>
      <c r="I337" s="141">
        <v>24.26717</v>
      </c>
      <c r="J337" s="141">
        <v>159.55229</v>
      </c>
      <c r="K337" s="141">
        <v>1341.1173000000001</v>
      </c>
      <c r="L337" s="141">
        <v>1754.66272</v>
      </c>
      <c r="M337" s="141">
        <v>6</v>
      </c>
      <c r="N337" s="141">
        <v>10</v>
      </c>
      <c r="O337" s="211">
        <f t="shared" si="9"/>
        <v>0.375</v>
      </c>
      <c r="P337" s="610">
        <v>1341.1173000000001</v>
      </c>
      <c r="Q337" s="141">
        <f t="shared" si="10"/>
        <v>502.91898750000007</v>
      </c>
    </row>
    <row r="338" spans="1:17" ht="21">
      <c r="A338" s="136" t="s">
        <v>2209</v>
      </c>
      <c r="B338" s="137" t="s">
        <v>2212</v>
      </c>
      <c r="C338" s="138" t="s">
        <v>1038</v>
      </c>
      <c r="D338" s="138" t="s">
        <v>971</v>
      </c>
      <c r="E338" s="136" t="s">
        <v>1571</v>
      </c>
      <c r="F338" s="419">
        <v>43100</v>
      </c>
      <c r="G338" s="140">
        <v>3646.7144400000002</v>
      </c>
      <c r="H338" s="140">
        <v>15</v>
      </c>
      <c r="I338" s="140">
        <v>16.762090000000001</v>
      </c>
      <c r="J338" s="140">
        <v>164.15418</v>
      </c>
      <c r="K338" s="140">
        <v>455.69239000000005</v>
      </c>
      <c r="L338" s="140">
        <v>703.26051000000007</v>
      </c>
      <c r="M338" s="143" t="s">
        <v>189</v>
      </c>
      <c r="N338" s="143" t="s">
        <v>189</v>
      </c>
      <c r="P338" s="608">
        <v>455.69239000000005</v>
      </c>
      <c r="Q338" s="141">
        <f t="shared" si="10"/>
        <v>0</v>
      </c>
    </row>
    <row r="339" spans="1:17">
      <c r="A339" s="138" t="s">
        <v>2211</v>
      </c>
      <c r="B339" s="135" t="s">
        <v>2214</v>
      </c>
      <c r="C339" s="136" t="s">
        <v>770</v>
      </c>
      <c r="D339" s="136" t="s">
        <v>753</v>
      </c>
      <c r="E339" s="138" t="s">
        <v>1571</v>
      </c>
      <c r="F339" s="420">
        <v>43100</v>
      </c>
      <c r="G339" s="141">
        <v>3623.3308899999997</v>
      </c>
      <c r="H339" s="141">
        <v>26</v>
      </c>
      <c r="I339" s="141">
        <v>1.13456</v>
      </c>
      <c r="J339" s="141">
        <v>8.1093600000000006</v>
      </c>
      <c r="K339" s="141">
        <v>873.72073999999998</v>
      </c>
      <c r="L339" s="141">
        <v>930.70494000000008</v>
      </c>
      <c r="M339" s="142" t="s">
        <v>189</v>
      </c>
      <c r="N339" s="142" t="s">
        <v>189</v>
      </c>
      <c r="P339" s="610">
        <v>873.72073999999998</v>
      </c>
      <c r="Q339" s="141">
        <f t="shared" si="10"/>
        <v>0</v>
      </c>
    </row>
    <row r="340" spans="1:17" ht="31.5">
      <c r="A340" s="136" t="s">
        <v>2213</v>
      </c>
      <c r="B340" s="137" t="s">
        <v>2216</v>
      </c>
      <c r="C340" s="138" t="s">
        <v>993</v>
      </c>
      <c r="D340" s="138" t="s">
        <v>975</v>
      </c>
      <c r="E340" s="136" t="s">
        <v>1571</v>
      </c>
      <c r="F340" s="419">
        <v>43100</v>
      </c>
      <c r="G340" s="140">
        <v>3578.4258499999996</v>
      </c>
      <c r="H340" s="140">
        <v>22</v>
      </c>
      <c r="I340" s="140">
        <v>9.5369899999999994</v>
      </c>
      <c r="J340" s="140">
        <v>142.19362000000001</v>
      </c>
      <c r="K340" s="140">
        <v>792.81663000000003</v>
      </c>
      <c r="L340" s="140">
        <v>1059.9510600000001</v>
      </c>
      <c r="M340" s="143" t="s">
        <v>189</v>
      </c>
      <c r="N340" s="143" t="s">
        <v>189</v>
      </c>
      <c r="P340" s="608">
        <v>792.81663000000003</v>
      </c>
      <c r="Q340" s="141">
        <f t="shared" si="10"/>
        <v>0</v>
      </c>
    </row>
    <row r="341" spans="1:17" ht="31.5">
      <c r="A341" s="138" t="s">
        <v>2215</v>
      </c>
      <c r="B341" s="135" t="s">
        <v>2218</v>
      </c>
      <c r="C341" s="136" t="s">
        <v>734</v>
      </c>
      <c r="D341" s="136" t="s">
        <v>668</v>
      </c>
      <c r="E341" s="138" t="s">
        <v>1571</v>
      </c>
      <c r="F341" s="420">
        <v>43100</v>
      </c>
      <c r="G341" s="141">
        <v>3566.0854800000002</v>
      </c>
      <c r="H341" s="141">
        <v>13</v>
      </c>
      <c r="I341" s="141">
        <v>20.933649999999997</v>
      </c>
      <c r="J341" s="141">
        <v>79.882140000000007</v>
      </c>
      <c r="K341" s="141">
        <v>567.13593000000003</v>
      </c>
      <c r="L341" s="141">
        <v>694.52940000000001</v>
      </c>
      <c r="M341" s="141">
        <v>11</v>
      </c>
      <c r="N341" s="141">
        <v>15</v>
      </c>
      <c r="O341" s="211">
        <f t="shared" si="9"/>
        <v>0.42307692307692307</v>
      </c>
      <c r="P341" s="610">
        <v>567.13593000000003</v>
      </c>
      <c r="Q341" s="141">
        <f t="shared" si="10"/>
        <v>239.94212423076925</v>
      </c>
    </row>
    <row r="342" spans="1:17" ht="31.5">
      <c r="A342" s="136" t="s">
        <v>2217</v>
      </c>
      <c r="B342" s="137" t="s">
        <v>2220</v>
      </c>
      <c r="C342" s="138" t="s">
        <v>1074</v>
      </c>
      <c r="D342" s="138" t="s">
        <v>969</v>
      </c>
      <c r="E342" s="136" t="s">
        <v>1571</v>
      </c>
      <c r="F342" s="419">
        <v>43100</v>
      </c>
      <c r="G342" s="140">
        <v>3557.9110000000001</v>
      </c>
      <c r="H342" s="140">
        <v>12</v>
      </c>
      <c r="I342" s="140">
        <v>61.774910000000006</v>
      </c>
      <c r="J342" s="140">
        <v>301.15861000000001</v>
      </c>
      <c r="K342" s="140">
        <v>610.27164000000005</v>
      </c>
      <c r="L342" s="140">
        <v>1184.9531500000003</v>
      </c>
      <c r="M342" s="143" t="s">
        <v>189</v>
      </c>
      <c r="N342" s="143" t="s">
        <v>189</v>
      </c>
      <c r="P342" s="608">
        <v>610.27164000000005</v>
      </c>
      <c r="Q342" s="141">
        <f t="shared" si="10"/>
        <v>0</v>
      </c>
    </row>
    <row r="343" spans="1:17" ht="31.5">
      <c r="A343" s="138" t="s">
        <v>2219</v>
      </c>
      <c r="B343" s="135" t="s">
        <v>2222</v>
      </c>
      <c r="C343" s="136" t="s">
        <v>1058</v>
      </c>
      <c r="D343" s="136" t="s">
        <v>971</v>
      </c>
      <c r="E343" s="138" t="s">
        <v>1571</v>
      </c>
      <c r="F343" s="420">
        <v>43100</v>
      </c>
      <c r="G343" s="141">
        <v>3553.210889</v>
      </c>
      <c r="H343" s="141">
        <v>26</v>
      </c>
      <c r="I343" s="141">
        <v>63.990380000000009</v>
      </c>
      <c r="J343" s="141">
        <v>202.6362</v>
      </c>
      <c r="K343" s="141">
        <v>816.8769400000001</v>
      </c>
      <c r="L343" s="141">
        <v>1265.91292</v>
      </c>
      <c r="M343" s="142" t="s">
        <v>189</v>
      </c>
      <c r="N343" s="142" t="s">
        <v>189</v>
      </c>
      <c r="P343" s="610">
        <v>816.8769400000001</v>
      </c>
      <c r="Q343" s="141">
        <f t="shared" si="10"/>
        <v>0</v>
      </c>
    </row>
    <row r="344" spans="1:17" ht="42">
      <c r="A344" s="136" t="s">
        <v>2221</v>
      </c>
      <c r="B344" s="137" t="s">
        <v>2224</v>
      </c>
      <c r="C344" s="138" t="s">
        <v>1029</v>
      </c>
      <c r="D344" s="138" t="s">
        <v>1027</v>
      </c>
      <c r="E344" s="136" t="s">
        <v>1571</v>
      </c>
      <c r="F344" s="419">
        <v>43100</v>
      </c>
      <c r="G344" s="140">
        <v>3487.4078099999997</v>
      </c>
      <c r="H344" s="140">
        <v>15</v>
      </c>
      <c r="I344" s="140">
        <v>15.49042</v>
      </c>
      <c r="J344" s="140">
        <v>101.8612</v>
      </c>
      <c r="K344" s="140">
        <v>465.09923000000003</v>
      </c>
      <c r="L344" s="140">
        <v>631.35526000000004</v>
      </c>
      <c r="M344" s="143" t="s">
        <v>189</v>
      </c>
      <c r="N344" s="143" t="s">
        <v>189</v>
      </c>
      <c r="P344" s="608">
        <v>465.09923000000003</v>
      </c>
      <c r="Q344" s="141">
        <f t="shared" si="10"/>
        <v>0</v>
      </c>
    </row>
    <row r="345" spans="1:17">
      <c r="A345" s="138" t="s">
        <v>2223</v>
      </c>
      <c r="B345" s="135" t="s">
        <v>2226</v>
      </c>
      <c r="C345" s="136" t="s">
        <v>1426</v>
      </c>
      <c r="D345" s="136" t="s">
        <v>1419</v>
      </c>
      <c r="E345" s="138" t="s">
        <v>1571</v>
      </c>
      <c r="F345" s="420">
        <v>43100</v>
      </c>
      <c r="G345" s="141">
        <v>3453.6081990000002</v>
      </c>
      <c r="H345" s="141">
        <v>16</v>
      </c>
      <c r="I345" s="141">
        <v>97.245909999999995</v>
      </c>
      <c r="J345" s="141">
        <v>285.61705000000001</v>
      </c>
      <c r="K345" s="141">
        <v>645.90390000000002</v>
      </c>
      <c r="L345" s="141">
        <v>1106.3626900000002</v>
      </c>
      <c r="M345" s="142" t="s">
        <v>189</v>
      </c>
      <c r="N345" s="142" t="s">
        <v>189</v>
      </c>
      <c r="P345" s="610">
        <v>645.90390000000002</v>
      </c>
      <c r="Q345" s="141">
        <f t="shared" si="10"/>
        <v>0</v>
      </c>
    </row>
    <row r="346" spans="1:17" ht="21">
      <c r="A346" s="136" t="s">
        <v>2225</v>
      </c>
      <c r="B346" s="137" t="s">
        <v>2228</v>
      </c>
      <c r="C346" s="138" t="s">
        <v>848</v>
      </c>
      <c r="D346" s="138" t="s">
        <v>811</v>
      </c>
      <c r="E346" s="136" t="s">
        <v>1571</v>
      </c>
      <c r="F346" s="419">
        <v>43100</v>
      </c>
      <c r="G346" s="140">
        <v>3451.9573399999999</v>
      </c>
      <c r="H346" s="140">
        <v>17</v>
      </c>
      <c r="I346" s="140">
        <v>15.809660000000001</v>
      </c>
      <c r="J346" s="140">
        <v>63.617840000000008</v>
      </c>
      <c r="K346" s="140">
        <v>634.97348999999997</v>
      </c>
      <c r="L346" s="140">
        <v>759.32040000000006</v>
      </c>
      <c r="M346" s="143" t="s">
        <v>189</v>
      </c>
      <c r="N346" s="143" t="s">
        <v>189</v>
      </c>
      <c r="P346" s="608">
        <v>634.97348999999997</v>
      </c>
      <c r="Q346" s="141">
        <f t="shared" si="10"/>
        <v>0</v>
      </c>
    </row>
    <row r="347" spans="1:17" ht="73.5">
      <c r="A347" s="138" t="s">
        <v>2227</v>
      </c>
      <c r="B347" s="135" t="s">
        <v>2230</v>
      </c>
      <c r="C347" s="136" t="s">
        <v>597</v>
      </c>
      <c r="D347" s="136" t="s">
        <v>596</v>
      </c>
      <c r="E347" s="138" t="s">
        <v>1571</v>
      </c>
      <c r="F347" s="420">
        <v>43100</v>
      </c>
      <c r="G347" s="141">
        <v>3448.0428200000001</v>
      </c>
      <c r="H347" s="141">
        <v>26</v>
      </c>
      <c r="I347" s="141"/>
      <c r="J347" s="141">
        <v>-249.05019000000001</v>
      </c>
      <c r="K347" s="141">
        <v>977.24890000000005</v>
      </c>
      <c r="L347" s="141">
        <v>752.30610000000001</v>
      </c>
      <c r="M347" s="142" t="s">
        <v>189</v>
      </c>
      <c r="N347" s="142" t="s">
        <v>189</v>
      </c>
      <c r="P347" s="610">
        <v>977.24890000000005</v>
      </c>
      <c r="Q347" s="141">
        <f t="shared" si="10"/>
        <v>0</v>
      </c>
    </row>
    <row r="348" spans="1:17">
      <c r="A348" s="136" t="s">
        <v>2229</v>
      </c>
      <c r="B348" s="137" t="s">
        <v>2232</v>
      </c>
      <c r="C348" s="138" t="s">
        <v>1527</v>
      </c>
      <c r="D348" s="138" t="s">
        <v>1501</v>
      </c>
      <c r="E348" s="136" t="s">
        <v>1571</v>
      </c>
      <c r="F348" s="419">
        <v>43100</v>
      </c>
      <c r="G348" s="140">
        <v>3425.88213</v>
      </c>
      <c r="H348" s="140">
        <v>14</v>
      </c>
      <c r="I348" s="143" t="s">
        <v>189</v>
      </c>
      <c r="J348" s="140">
        <v>3.3998600000000003</v>
      </c>
      <c r="K348" s="140">
        <v>939.30887000000007</v>
      </c>
      <c r="L348" s="140">
        <v>968.58160999999996</v>
      </c>
      <c r="M348" s="143" t="s">
        <v>189</v>
      </c>
      <c r="N348" s="143" t="s">
        <v>189</v>
      </c>
      <c r="P348" s="608">
        <v>939.30887000000007</v>
      </c>
      <c r="Q348" s="141">
        <f t="shared" si="10"/>
        <v>0</v>
      </c>
    </row>
    <row r="349" spans="1:17" ht="21">
      <c r="A349" s="138" t="s">
        <v>2231</v>
      </c>
      <c r="B349" s="135" t="s">
        <v>2234</v>
      </c>
      <c r="C349" s="136" t="s">
        <v>981</v>
      </c>
      <c r="D349" s="136" t="s">
        <v>975</v>
      </c>
      <c r="E349" s="138" t="s">
        <v>1571</v>
      </c>
      <c r="F349" s="420">
        <v>42735</v>
      </c>
      <c r="G349" s="141">
        <v>3397.8389189999998</v>
      </c>
      <c r="H349" s="141">
        <v>94</v>
      </c>
      <c r="I349" s="141">
        <v>39.436680000000003</v>
      </c>
      <c r="J349" s="141">
        <v>108.40178</v>
      </c>
      <c r="K349" s="141">
        <v>523.73962000000006</v>
      </c>
      <c r="L349" s="141">
        <v>719.58775000000003</v>
      </c>
      <c r="M349" s="141">
        <v>5</v>
      </c>
      <c r="N349" s="141">
        <v>38</v>
      </c>
      <c r="O349" s="211">
        <f t="shared" ref="O349:O410" si="11">M349/(M349+N349)</f>
        <v>0.11627906976744186</v>
      </c>
      <c r="P349" s="610">
        <v>523.73962000000006</v>
      </c>
      <c r="Q349" s="141">
        <f t="shared" si="10"/>
        <v>60.899955813953497</v>
      </c>
    </row>
    <row r="350" spans="1:17" ht="21">
      <c r="A350" s="136" t="s">
        <v>2233</v>
      </c>
      <c r="B350" s="139" t="s">
        <v>2236</v>
      </c>
      <c r="C350" s="138" t="s">
        <v>1547</v>
      </c>
      <c r="D350" s="138" t="s">
        <v>1451</v>
      </c>
      <c r="E350" s="136" t="s">
        <v>1571</v>
      </c>
      <c r="F350" s="419">
        <v>43100</v>
      </c>
      <c r="G350" s="140">
        <v>3365.2460000000001</v>
      </c>
      <c r="H350" s="140">
        <v>6</v>
      </c>
      <c r="I350" s="140">
        <v>1.17282</v>
      </c>
      <c r="J350" s="140">
        <v>4.935620000000001</v>
      </c>
      <c r="K350" s="140">
        <v>281.06779999999998</v>
      </c>
      <c r="L350" s="140">
        <v>291.87659000000002</v>
      </c>
      <c r="M350" s="140">
        <v>2</v>
      </c>
      <c r="N350" s="140">
        <v>25</v>
      </c>
      <c r="O350" s="211">
        <f t="shared" si="11"/>
        <v>7.407407407407407E-2</v>
      </c>
      <c r="P350" s="608">
        <v>281.06779999999998</v>
      </c>
      <c r="Q350" s="141">
        <f t="shared" si="10"/>
        <v>20.819837037037033</v>
      </c>
    </row>
    <row r="351" spans="1:17" ht="31.5">
      <c r="A351" s="138" t="s">
        <v>2235</v>
      </c>
      <c r="B351" s="135" t="s">
        <v>2238</v>
      </c>
      <c r="C351" s="136" t="s">
        <v>1372</v>
      </c>
      <c r="D351" s="136" t="s">
        <v>1800</v>
      </c>
      <c r="E351" s="138" t="s">
        <v>1571</v>
      </c>
      <c r="F351" s="420">
        <v>41639</v>
      </c>
      <c r="G351" s="141">
        <v>3336.5465099999997</v>
      </c>
      <c r="H351" s="141">
        <v>18</v>
      </c>
      <c r="I351" s="141">
        <v>2.0309599999999999</v>
      </c>
      <c r="J351" s="141">
        <v>3.1662699999999999</v>
      </c>
      <c r="K351" s="141">
        <v>260.49907999999999</v>
      </c>
      <c r="L351" s="141">
        <v>279.61104</v>
      </c>
      <c r="M351" s="142" t="s">
        <v>189</v>
      </c>
      <c r="N351" s="142" t="s">
        <v>189</v>
      </c>
      <c r="P351" s="610">
        <v>260.49907999999999</v>
      </c>
      <c r="Q351" s="141">
        <f t="shared" si="10"/>
        <v>0</v>
      </c>
    </row>
    <row r="352" spans="1:17" ht="21">
      <c r="A352" s="136" t="s">
        <v>2237</v>
      </c>
      <c r="B352" s="137" t="s">
        <v>2240</v>
      </c>
      <c r="C352" s="138" t="s">
        <v>688</v>
      </c>
      <c r="D352" s="138" t="s">
        <v>689</v>
      </c>
      <c r="E352" s="136" t="s">
        <v>1571</v>
      </c>
      <c r="F352" s="419">
        <v>40543</v>
      </c>
      <c r="G352" s="140">
        <v>3323.71425</v>
      </c>
      <c r="H352" s="140">
        <v>10</v>
      </c>
      <c r="I352" s="140">
        <v>0.92808000000000002</v>
      </c>
      <c r="J352" s="140">
        <v>2.93892</v>
      </c>
      <c r="K352" s="140">
        <v>269.22552000000002</v>
      </c>
      <c r="L352" s="140">
        <v>285.18478000000005</v>
      </c>
      <c r="M352" s="143" t="s">
        <v>189</v>
      </c>
      <c r="N352" s="143" t="s">
        <v>189</v>
      </c>
      <c r="P352" s="608">
        <v>269.22552000000002</v>
      </c>
      <c r="Q352" s="141">
        <f t="shared" si="10"/>
        <v>0</v>
      </c>
    </row>
    <row r="353" spans="1:17">
      <c r="A353" s="138" t="s">
        <v>2239</v>
      </c>
      <c r="B353" s="135" t="s">
        <v>2242</v>
      </c>
      <c r="C353" s="136" t="s">
        <v>1540</v>
      </c>
      <c r="D353" s="136" t="s">
        <v>1279</v>
      </c>
      <c r="E353" s="138" t="s">
        <v>1571</v>
      </c>
      <c r="F353" s="420">
        <v>43100</v>
      </c>
      <c r="G353" s="141">
        <v>3322.7783399999998</v>
      </c>
      <c r="H353" s="141">
        <v>17</v>
      </c>
      <c r="I353" s="141"/>
      <c r="J353" s="141">
        <v>-124.67904</v>
      </c>
      <c r="K353" s="141">
        <v>1037.6406999999999</v>
      </c>
      <c r="L353" s="141">
        <v>1051.5693990000002</v>
      </c>
      <c r="M353" s="141">
        <v>6</v>
      </c>
      <c r="N353" s="141">
        <v>17</v>
      </c>
      <c r="O353" s="211">
        <f t="shared" si="11"/>
        <v>0.2608695652173913</v>
      </c>
      <c r="P353" s="610">
        <v>1037.6406999999999</v>
      </c>
      <c r="Q353" s="141">
        <f t="shared" si="10"/>
        <v>270.68887826086956</v>
      </c>
    </row>
    <row r="354" spans="1:17" ht="42">
      <c r="A354" s="136" t="s">
        <v>2241</v>
      </c>
      <c r="B354" s="137" t="s">
        <v>2244</v>
      </c>
      <c r="C354" s="138" t="s">
        <v>1071</v>
      </c>
      <c r="D354" s="138" t="s">
        <v>969</v>
      </c>
      <c r="E354" s="136" t="s">
        <v>1571</v>
      </c>
      <c r="F354" s="419">
        <v>43100</v>
      </c>
      <c r="G354" s="140">
        <v>3272.8937900000001</v>
      </c>
      <c r="H354" s="140">
        <v>15</v>
      </c>
      <c r="I354" s="140">
        <v>83.773750000000007</v>
      </c>
      <c r="J354" s="140">
        <v>295.66251</v>
      </c>
      <c r="K354" s="140">
        <v>595.94524999999999</v>
      </c>
      <c r="L354" s="140">
        <v>992.45817799999998</v>
      </c>
      <c r="M354" s="143" t="s">
        <v>189</v>
      </c>
      <c r="N354" s="143" t="s">
        <v>189</v>
      </c>
      <c r="P354" s="608">
        <v>595.94524999999999</v>
      </c>
      <c r="Q354" s="141">
        <f t="shared" ref="Q354:Q417" si="12">O354*P354</f>
        <v>0</v>
      </c>
    </row>
    <row r="355" spans="1:17" ht="31.5">
      <c r="A355" s="138" t="s">
        <v>2243</v>
      </c>
      <c r="B355" s="135" t="s">
        <v>2246</v>
      </c>
      <c r="C355" s="136" t="s">
        <v>1126</v>
      </c>
      <c r="D355" s="136" t="s">
        <v>1112</v>
      </c>
      <c r="E355" s="138" t="s">
        <v>1571</v>
      </c>
      <c r="F355" s="420">
        <v>43100</v>
      </c>
      <c r="G355" s="141">
        <v>3175.3103499999997</v>
      </c>
      <c r="H355" s="141">
        <v>24</v>
      </c>
      <c r="I355" s="141"/>
      <c r="J355" s="141">
        <v>5.0041000000000002</v>
      </c>
      <c r="K355" s="141">
        <v>1010.0321600000001</v>
      </c>
      <c r="L355" s="141">
        <v>1189.25757</v>
      </c>
      <c r="M355" s="142" t="s">
        <v>189</v>
      </c>
      <c r="N355" s="142" t="s">
        <v>189</v>
      </c>
      <c r="P355" s="610">
        <v>1010.0321600000001</v>
      </c>
      <c r="Q355" s="141">
        <f t="shared" si="12"/>
        <v>0</v>
      </c>
    </row>
    <row r="356" spans="1:17" ht="21">
      <c r="A356" s="136" t="s">
        <v>2245</v>
      </c>
      <c r="B356" s="137" t="s">
        <v>2248</v>
      </c>
      <c r="C356" s="138" t="s">
        <v>746</v>
      </c>
      <c r="D356" s="138" t="s">
        <v>747</v>
      </c>
      <c r="E356" s="136" t="s">
        <v>1571</v>
      </c>
      <c r="F356" s="419">
        <v>43100</v>
      </c>
      <c r="G356" s="140">
        <v>3173.9917190000001</v>
      </c>
      <c r="H356" s="140">
        <v>41</v>
      </c>
      <c r="I356" s="140">
        <v>50.679250000000003</v>
      </c>
      <c r="J356" s="140">
        <v>147.52319</v>
      </c>
      <c r="K356" s="140">
        <v>1351.5781600000003</v>
      </c>
      <c r="L356" s="140">
        <v>1600.6871890000002</v>
      </c>
      <c r="M356" s="143" t="s">
        <v>189</v>
      </c>
      <c r="N356" s="143" t="s">
        <v>189</v>
      </c>
      <c r="P356" s="608">
        <v>1351.5781600000003</v>
      </c>
      <c r="Q356" s="141">
        <f t="shared" si="12"/>
        <v>0</v>
      </c>
    </row>
    <row r="357" spans="1:17" ht="21">
      <c r="A357" s="138" t="s">
        <v>2247</v>
      </c>
      <c r="B357" s="135" t="s">
        <v>2250</v>
      </c>
      <c r="C357" s="136" t="s">
        <v>1186</v>
      </c>
      <c r="D357" s="136" t="s">
        <v>1184</v>
      </c>
      <c r="E357" s="138" t="s">
        <v>1571</v>
      </c>
      <c r="F357" s="420">
        <v>43100</v>
      </c>
      <c r="G357" s="141">
        <v>3141.5455299999999</v>
      </c>
      <c r="H357" s="141">
        <v>25</v>
      </c>
      <c r="I357" s="142" t="s">
        <v>189</v>
      </c>
      <c r="J357" s="141">
        <v>-178.77294999999998</v>
      </c>
      <c r="K357" s="141">
        <v>926.70326</v>
      </c>
      <c r="L357" s="141">
        <v>947.84777999999994</v>
      </c>
      <c r="M357" s="142" t="s">
        <v>189</v>
      </c>
      <c r="N357" s="142" t="s">
        <v>189</v>
      </c>
      <c r="P357" s="610">
        <v>926.70326</v>
      </c>
      <c r="Q357" s="141">
        <f t="shared" si="12"/>
        <v>0</v>
      </c>
    </row>
    <row r="358" spans="1:17" ht="42">
      <c r="A358" s="136" t="s">
        <v>2249</v>
      </c>
      <c r="B358" s="137" t="s">
        <v>2252</v>
      </c>
      <c r="C358" s="138" t="s">
        <v>755</v>
      </c>
      <c r="D358" s="138" t="s">
        <v>753</v>
      </c>
      <c r="E358" s="136" t="s">
        <v>1571</v>
      </c>
      <c r="F358" s="419">
        <v>43100</v>
      </c>
      <c r="G358" s="140">
        <v>3139.5959400000002</v>
      </c>
      <c r="H358" s="140">
        <v>17</v>
      </c>
      <c r="I358" s="140">
        <v>30.05134</v>
      </c>
      <c r="J358" s="140">
        <v>95.162570000000002</v>
      </c>
      <c r="K358" s="140">
        <v>679.10206999999991</v>
      </c>
      <c r="L358" s="140">
        <v>818.34471999999994</v>
      </c>
      <c r="M358" s="143" t="s">
        <v>189</v>
      </c>
      <c r="N358" s="140">
        <v>18</v>
      </c>
      <c r="P358" s="608">
        <v>679.10206999999991</v>
      </c>
      <c r="Q358" s="141">
        <f t="shared" si="12"/>
        <v>0</v>
      </c>
    </row>
    <row r="359" spans="1:17" ht="21">
      <c r="A359" s="138" t="s">
        <v>2251</v>
      </c>
      <c r="B359" s="135" t="s">
        <v>2254</v>
      </c>
      <c r="C359" s="136" t="s">
        <v>1534</v>
      </c>
      <c r="D359" s="136" t="s">
        <v>1279</v>
      </c>
      <c r="E359" s="138" t="s">
        <v>1571</v>
      </c>
      <c r="F359" s="420">
        <v>43100</v>
      </c>
      <c r="G359" s="141">
        <v>3122.9766300000001</v>
      </c>
      <c r="H359" s="141">
        <v>7</v>
      </c>
      <c r="I359" s="141">
        <v>56.828960000000002</v>
      </c>
      <c r="J359" s="141">
        <v>154.97187999999997</v>
      </c>
      <c r="K359" s="141">
        <v>583.62598000000003</v>
      </c>
      <c r="L359" s="141">
        <v>805.66911000000005</v>
      </c>
      <c r="M359" s="142" t="s">
        <v>189</v>
      </c>
      <c r="N359" s="142" t="s">
        <v>189</v>
      </c>
      <c r="P359" s="610">
        <v>583.62598000000003</v>
      </c>
      <c r="Q359" s="141">
        <f t="shared" si="12"/>
        <v>0</v>
      </c>
    </row>
    <row r="360" spans="1:17" ht="42">
      <c r="A360" s="136" t="s">
        <v>2253</v>
      </c>
      <c r="B360" s="137" t="s">
        <v>2256</v>
      </c>
      <c r="C360" s="138" t="s">
        <v>1119</v>
      </c>
      <c r="D360" s="138" t="s">
        <v>1112</v>
      </c>
      <c r="E360" s="136" t="s">
        <v>1571</v>
      </c>
      <c r="F360" s="419">
        <v>43100</v>
      </c>
      <c r="G360" s="140">
        <v>3104.4774699999998</v>
      </c>
      <c r="H360" s="140">
        <v>22</v>
      </c>
      <c r="I360" s="140">
        <v>15.838649999999999</v>
      </c>
      <c r="J360" s="140">
        <v>61.125840000000004</v>
      </c>
      <c r="K360" s="140">
        <v>850.07647999999995</v>
      </c>
      <c r="L360" s="140">
        <v>986.86857999999995</v>
      </c>
      <c r="M360" s="140">
        <v>4</v>
      </c>
      <c r="N360" s="140">
        <v>19</v>
      </c>
      <c r="O360" s="211">
        <f t="shared" si="11"/>
        <v>0.17391304347826086</v>
      </c>
      <c r="P360" s="608">
        <v>850.07647999999995</v>
      </c>
      <c r="Q360" s="141">
        <f t="shared" si="12"/>
        <v>147.83938782608695</v>
      </c>
    </row>
    <row r="361" spans="1:17">
      <c r="A361" s="138" t="s">
        <v>2255</v>
      </c>
      <c r="B361" s="135" t="s">
        <v>2258</v>
      </c>
      <c r="C361" s="136" t="s">
        <v>1011</v>
      </c>
      <c r="D361" s="136" t="s">
        <v>987</v>
      </c>
      <c r="E361" s="138" t="s">
        <v>1571</v>
      </c>
      <c r="F361" s="420">
        <v>43100</v>
      </c>
      <c r="G361" s="141">
        <v>3083.7504290000002</v>
      </c>
      <c r="H361" s="141">
        <v>9</v>
      </c>
      <c r="I361" s="141"/>
      <c r="J361" s="141">
        <v>-139.40634</v>
      </c>
      <c r="K361" s="141">
        <v>383.45953000000003</v>
      </c>
      <c r="L361" s="141">
        <v>266.36507</v>
      </c>
      <c r="M361" s="142" t="s">
        <v>189</v>
      </c>
      <c r="N361" s="142" t="s">
        <v>189</v>
      </c>
      <c r="P361" s="610">
        <v>383.45953000000003</v>
      </c>
      <c r="Q361" s="141">
        <f t="shared" si="12"/>
        <v>0</v>
      </c>
    </row>
    <row r="362" spans="1:17" ht="52.5">
      <c r="A362" s="136" t="s">
        <v>2257</v>
      </c>
      <c r="B362" s="137" t="s">
        <v>2260</v>
      </c>
      <c r="C362" s="138" t="s">
        <v>1006</v>
      </c>
      <c r="D362" s="138" t="s">
        <v>975</v>
      </c>
      <c r="E362" s="136" t="s">
        <v>1571</v>
      </c>
      <c r="F362" s="419">
        <v>43100</v>
      </c>
      <c r="G362" s="140">
        <v>3065.1853699999997</v>
      </c>
      <c r="H362" s="140">
        <v>13</v>
      </c>
      <c r="I362" s="140">
        <v>5.7009999999999998E-2</v>
      </c>
      <c r="J362" s="140">
        <v>36.985729999999997</v>
      </c>
      <c r="K362" s="140">
        <v>398.18829000000005</v>
      </c>
      <c r="L362" s="140">
        <v>573.74473999999998</v>
      </c>
      <c r="M362" s="140">
        <v>8</v>
      </c>
      <c r="N362" s="140">
        <v>21</v>
      </c>
      <c r="O362" s="211">
        <f t="shared" si="11"/>
        <v>0.27586206896551724</v>
      </c>
      <c r="P362" s="608">
        <v>398.18829000000005</v>
      </c>
      <c r="Q362" s="141">
        <f t="shared" si="12"/>
        <v>109.84504551724139</v>
      </c>
    </row>
    <row r="363" spans="1:17" ht="31.5">
      <c r="A363" s="138" t="s">
        <v>2259</v>
      </c>
      <c r="B363" s="135" t="s">
        <v>2262</v>
      </c>
      <c r="C363" s="136" t="s">
        <v>1565</v>
      </c>
      <c r="D363" s="136" t="s">
        <v>1564</v>
      </c>
      <c r="E363" s="138" t="s">
        <v>1571</v>
      </c>
      <c r="F363" s="420">
        <v>43100</v>
      </c>
      <c r="G363" s="141">
        <v>3041.8705500000001</v>
      </c>
      <c r="H363" s="141">
        <v>26</v>
      </c>
      <c r="I363" s="141">
        <v>6.4679799999999998</v>
      </c>
      <c r="J363" s="141">
        <v>12.599740000000002</v>
      </c>
      <c r="K363" s="141">
        <v>1031.97631</v>
      </c>
      <c r="L363" s="141">
        <v>1214.5967600000001</v>
      </c>
      <c r="M363" s="141">
        <v>3</v>
      </c>
      <c r="N363" s="141">
        <v>5</v>
      </c>
      <c r="O363" s="211">
        <f t="shared" si="11"/>
        <v>0.375</v>
      </c>
      <c r="P363" s="610">
        <v>1031.97631</v>
      </c>
      <c r="Q363" s="141">
        <f t="shared" si="12"/>
        <v>386.99111625</v>
      </c>
    </row>
    <row r="364" spans="1:17" ht="21">
      <c r="A364" s="136" t="s">
        <v>2261</v>
      </c>
      <c r="B364" s="137" t="s">
        <v>2264</v>
      </c>
      <c r="C364" s="138" t="s">
        <v>748</v>
      </c>
      <c r="D364" s="138" t="s">
        <v>747</v>
      </c>
      <c r="E364" s="136" t="s">
        <v>1571</v>
      </c>
      <c r="F364" s="419">
        <v>43100</v>
      </c>
      <c r="G364" s="140">
        <v>3041.4972700000003</v>
      </c>
      <c r="H364" s="140">
        <v>23</v>
      </c>
      <c r="I364" s="140">
        <v>6.5120800000000001</v>
      </c>
      <c r="J364" s="140">
        <v>20.621599999999997</v>
      </c>
      <c r="K364" s="140">
        <v>742.14509999999996</v>
      </c>
      <c r="L364" s="140">
        <v>894.40242000000001</v>
      </c>
      <c r="M364" s="143" t="s">
        <v>189</v>
      </c>
      <c r="N364" s="143" t="s">
        <v>189</v>
      </c>
      <c r="P364" s="608">
        <v>742.14509999999996</v>
      </c>
      <c r="Q364" s="141">
        <f t="shared" si="12"/>
        <v>0</v>
      </c>
    </row>
    <row r="365" spans="1:17" ht="21">
      <c r="A365" s="138" t="s">
        <v>2263</v>
      </c>
      <c r="B365" s="135" t="s">
        <v>2266</v>
      </c>
      <c r="C365" s="136" t="s">
        <v>1165</v>
      </c>
      <c r="D365" s="136" t="s">
        <v>1145</v>
      </c>
      <c r="E365" s="138" t="s">
        <v>1571</v>
      </c>
      <c r="F365" s="420">
        <v>43100</v>
      </c>
      <c r="G365" s="141">
        <v>3041.4001200000002</v>
      </c>
      <c r="H365" s="141">
        <v>18</v>
      </c>
      <c r="I365" s="141">
        <v>1.34507</v>
      </c>
      <c r="J365" s="141">
        <v>17.875040000000002</v>
      </c>
      <c r="K365" s="141">
        <v>1093.1506600000002</v>
      </c>
      <c r="L365" s="141">
        <v>1227.92002</v>
      </c>
      <c r="M365" s="142" t="s">
        <v>189</v>
      </c>
      <c r="N365" s="142" t="s">
        <v>189</v>
      </c>
      <c r="P365" s="610">
        <v>1093.1506600000002</v>
      </c>
      <c r="Q365" s="141">
        <f t="shared" si="12"/>
        <v>0</v>
      </c>
    </row>
    <row r="366" spans="1:17" ht="42">
      <c r="A366" s="136" t="s">
        <v>2265</v>
      </c>
      <c r="B366" s="137" t="s">
        <v>2268</v>
      </c>
      <c r="C366" s="138" t="s">
        <v>1154</v>
      </c>
      <c r="D366" s="138" t="s">
        <v>2269</v>
      </c>
      <c r="E366" s="136" t="s">
        <v>1571</v>
      </c>
      <c r="F366" s="419">
        <v>43100</v>
      </c>
      <c r="G366" s="140">
        <v>3029.598</v>
      </c>
      <c r="H366" s="140">
        <v>33</v>
      </c>
      <c r="I366" s="140">
        <v>289.85146000000003</v>
      </c>
      <c r="J366" s="140">
        <v>935.67766999999992</v>
      </c>
      <c r="K366" s="140">
        <v>940.6961</v>
      </c>
      <c r="L366" s="140">
        <v>2362.3282999999997</v>
      </c>
      <c r="M366" s="143" t="s">
        <v>189</v>
      </c>
      <c r="N366" s="143" t="s">
        <v>189</v>
      </c>
      <c r="P366" s="608">
        <v>940.6961</v>
      </c>
      <c r="Q366" s="141">
        <f t="shared" si="12"/>
        <v>0</v>
      </c>
    </row>
    <row r="367" spans="1:17" ht="31.5">
      <c r="A367" s="138" t="s">
        <v>2267</v>
      </c>
      <c r="B367" s="135" t="s">
        <v>2271</v>
      </c>
      <c r="C367" s="136" t="s">
        <v>850</v>
      </c>
      <c r="D367" s="136" t="s">
        <v>811</v>
      </c>
      <c r="E367" s="138" t="s">
        <v>1571</v>
      </c>
      <c r="F367" s="420">
        <v>43100</v>
      </c>
      <c r="G367" s="141">
        <v>3000.9441099999999</v>
      </c>
      <c r="H367" s="141">
        <v>13</v>
      </c>
      <c r="I367" s="141">
        <v>159.56244999999998</v>
      </c>
      <c r="J367" s="141">
        <v>525.69756900000004</v>
      </c>
      <c r="K367" s="141">
        <v>652.75821999999994</v>
      </c>
      <c r="L367" s="141">
        <v>1404.861969</v>
      </c>
      <c r="M367" s="142" t="s">
        <v>189</v>
      </c>
      <c r="N367" s="142" t="s">
        <v>189</v>
      </c>
      <c r="P367" s="610">
        <v>652.75821999999994</v>
      </c>
      <c r="Q367" s="141">
        <f t="shared" si="12"/>
        <v>0</v>
      </c>
    </row>
    <row r="368" spans="1:17">
      <c r="A368" s="136" t="s">
        <v>2270</v>
      </c>
      <c r="B368" s="137" t="s">
        <v>2273</v>
      </c>
      <c r="C368" s="138" t="s">
        <v>599</v>
      </c>
      <c r="D368" s="138" t="s">
        <v>596</v>
      </c>
      <c r="E368" s="136" t="s">
        <v>1571</v>
      </c>
      <c r="F368" s="419">
        <v>43100</v>
      </c>
      <c r="G368" s="140">
        <v>2993.7925499999997</v>
      </c>
      <c r="H368" s="140">
        <v>28</v>
      </c>
      <c r="I368" s="140"/>
      <c r="J368" s="140">
        <v>18.548260000000003</v>
      </c>
      <c r="K368" s="140">
        <v>916.46950000000004</v>
      </c>
      <c r="L368" s="140">
        <v>1140.2226300000002</v>
      </c>
      <c r="M368" s="143" t="s">
        <v>189</v>
      </c>
      <c r="N368" s="143" t="s">
        <v>189</v>
      </c>
      <c r="P368" s="608">
        <v>916.46950000000004</v>
      </c>
      <c r="Q368" s="141">
        <f t="shared" si="12"/>
        <v>0</v>
      </c>
    </row>
    <row r="369" spans="1:17">
      <c r="A369" s="138" t="s">
        <v>2272</v>
      </c>
      <c r="B369" s="135" t="s">
        <v>2275</v>
      </c>
      <c r="C369" s="136" t="s">
        <v>639</v>
      </c>
      <c r="D369" s="136" t="s">
        <v>1972</v>
      </c>
      <c r="E369" s="138" t="s">
        <v>1571</v>
      </c>
      <c r="F369" s="420">
        <v>43100</v>
      </c>
      <c r="G369" s="141">
        <v>2964.7715400000002</v>
      </c>
      <c r="H369" s="141">
        <v>8</v>
      </c>
      <c r="I369" s="141">
        <v>179.66904000000002</v>
      </c>
      <c r="J369" s="141">
        <v>533.90919899999994</v>
      </c>
      <c r="K369" s="141">
        <v>310.01116999999999</v>
      </c>
      <c r="L369" s="141">
        <v>1168.6392679999999</v>
      </c>
      <c r="M369" s="142" t="s">
        <v>189</v>
      </c>
      <c r="N369" s="142" t="s">
        <v>189</v>
      </c>
      <c r="P369" s="610">
        <v>310.01116999999999</v>
      </c>
      <c r="Q369" s="141">
        <f t="shared" si="12"/>
        <v>0</v>
      </c>
    </row>
    <row r="370" spans="1:17" ht="21">
      <c r="A370" s="136" t="s">
        <v>2274</v>
      </c>
      <c r="B370" s="137" t="s">
        <v>2277</v>
      </c>
      <c r="C370" s="138" t="s">
        <v>1542</v>
      </c>
      <c r="D370" s="138" t="s">
        <v>1279</v>
      </c>
      <c r="E370" s="136" t="s">
        <v>1571</v>
      </c>
      <c r="F370" s="419">
        <v>43100</v>
      </c>
      <c r="G370" s="140">
        <v>2954.3040000000001</v>
      </c>
      <c r="H370" s="140">
        <v>31</v>
      </c>
      <c r="I370" s="140"/>
      <c r="J370" s="140">
        <v>-2.4356399999999998</v>
      </c>
      <c r="K370" s="140">
        <v>1154.8554099999999</v>
      </c>
      <c r="L370" s="140">
        <v>1320.8125590000002</v>
      </c>
      <c r="M370" s="143" t="s">
        <v>189</v>
      </c>
      <c r="N370" s="143" t="s">
        <v>189</v>
      </c>
      <c r="P370" s="608">
        <v>1154.8554099999999</v>
      </c>
      <c r="Q370" s="141">
        <f t="shared" si="12"/>
        <v>0</v>
      </c>
    </row>
    <row r="371" spans="1:17">
      <c r="A371" s="138" t="s">
        <v>2276</v>
      </c>
      <c r="B371" s="135" t="s">
        <v>2279</v>
      </c>
      <c r="C371" s="136" t="s">
        <v>1270</v>
      </c>
      <c r="D371" s="136" t="s">
        <v>1501</v>
      </c>
      <c r="E371" s="138" t="s">
        <v>1571</v>
      </c>
      <c r="F371" s="420">
        <v>43100</v>
      </c>
      <c r="G371" s="141">
        <v>2950.2234600000002</v>
      </c>
      <c r="H371" s="141">
        <v>13</v>
      </c>
      <c r="I371" s="141">
        <v>16.384229999999999</v>
      </c>
      <c r="J371" s="141">
        <v>22.841709999999999</v>
      </c>
      <c r="K371" s="141">
        <v>572.07580000000007</v>
      </c>
      <c r="L371" s="141">
        <v>633.00078999999994</v>
      </c>
      <c r="M371" s="142" t="s">
        <v>189</v>
      </c>
      <c r="N371" s="142" t="s">
        <v>189</v>
      </c>
      <c r="P371" s="610">
        <v>572.07580000000007</v>
      </c>
      <c r="Q371" s="141">
        <f t="shared" si="12"/>
        <v>0</v>
      </c>
    </row>
    <row r="372" spans="1:17" ht="21">
      <c r="A372" s="136" t="s">
        <v>2278</v>
      </c>
      <c r="B372" s="137" t="s">
        <v>2281</v>
      </c>
      <c r="C372" s="138" t="s">
        <v>1239</v>
      </c>
      <c r="D372" s="138" t="s">
        <v>1235</v>
      </c>
      <c r="E372" s="136" t="s">
        <v>1571</v>
      </c>
      <c r="F372" s="419">
        <v>43100</v>
      </c>
      <c r="G372" s="140">
        <v>2919.1762699999999</v>
      </c>
      <c r="H372" s="140">
        <v>5</v>
      </c>
      <c r="I372" s="140"/>
      <c r="J372" s="140">
        <v>-214.08627000000001</v>
      </c>
      <c r="K372" s="140">
        <v>221.42908</v>
      </c>
      <c r="L372" s="140">
        <v>-38.138410000000007</v>
      </c>
      <c r="M372" s="140">
        <v>6</v>
      </c>
      <c r="N372" s="140">
        <v>39</v>
      </c>
      <c r="O372" s="211">
        <f t="shared" si="11"/>
        <v>0.13333333333333333</v>
      </c>
      <c r="P372" s="608">
        <v>221.42908</v>
      </c>
      <c r="Q372" s="141">
        <f t="shared" si="12"/>
        <v>29.523877333333331</v>
      </c>
    </row>
    <row r="373" spans="1:17" ht="31.5">
      <c r="A373" s="138" t="s">
        <v>2280</v>
      </c>
      <c r="B373" s="135" t="s">
        <v>2283</v>
      </c>
      <c r="C373" s="136" t="s">
        <v>806</v>
      </c>
      <c r="D373" s="136" t="s">
        <v>800</v>
      </c>
      <c r="E373" s="138" t="s">
        <v>1571</v>
      </c>
      <c r="F373" s="420">
        <v>43100</v>
      </c>
      <c r="G373" s="141">
        <v>2898.8754199999998</v>
      </c>
      <c r="H373" s="141">
        <v>20</v>
      </c>
      <c r="I373" s="141">
        <v>40.472589999999997</v>
      </c>
      <c r="J373" s="141">
        <v>189.51320000000001</v>
      </c>
      <c r="K373" s="141">
        <v>1175.9456600000001</v>
      </c>
      <c r="L373" s="141">
        <v>1563.7673390000002</v>
      </c>
      <c r="M373" s="141">
        <v>32</v>
      </c>
      <c r="N373" s="141">
        <v>15</v>
      </c>
      <c r="O373" s="211">
        <f t="shared" si="11"/>
        <v>0.68085106382978722</v>
      </c>
      <c r="P373" s="610">
        <v>1175.9456600000001</v>
      </c>
      <c r="Q373" s="141">
        <f t="shared" si="12"/>
        <v>800.64385361702136</v>
      </c>
    </row>
    <row r="374" spans="1:17" ht="21">
      <c r="A374" s="136" t="s">
        <v>2282</v>
      </c>
      <c r="B374" s="139" t="s">
        <v>2285</v>
      </c>
      <c r="C374" s="138" t="s">
        <v>893</v>
      </c>
      <c r="D374" s="138" t="s">
        <v>1456</v>
      </c>
      <c r="E374" s="136" t="s">
        <v>1571</v>
      </c>
      <c r="F374" s="419">
        <v>43100</v>
      </c>
      <c r="G374" s="140">
        <v>2884.9278899999999</v>
      </c>
      <c r="H374" s="140">
        <v>5</v>
      </c>
      <c r="I374" s="140">
        <v>64.955709999999996</v>
      </c>
      <c r="J374" s="140">
        <v>273.3553</v>
      </c>
      <c r="K374" s="140">
        <v>260.20330000000001</v>
      </c>
      <c r="L374" s="140">
        <v>614.23404000000005</v>
      </c>
      <c r="M374" s="140">
        <v>2</v>
      </c>
      <c r="N374" s="140">
        <v>4</v>
      </c>
      <c r="O374" s="211">
        <f t="shared" si="11"/>
        <v>0.33333333333333331</v>
      </c>
      <c r="P374" s="608">
        <v>260.20330000000001</v>
      </c>
      <c r="Q374" s="141">
        <f t="shared" si="12"/>
        <v>86.734433333333328</v>
      </c>
    </row>
    <row r="375" spans="1:17" ht="52.5">
      <c r="A375" s="138" t="s">
        <v>2284</v>
      </c>
      <c r="B375" s="135" t="s">
        <v>2287</v>
      </c>
      <c r="C375" s="136" t="s">
        <v>640</v>
      </c>
      <c r="D375" s="136" t="s">
        <v>641</v>
      </c>
      <c r="E375" s="138" t="s">
        <v>1571</v>
      </c>
      <c r="F375" s="420">
        <v>39447</v>
      </c>
      <c r="G375" s="141">
        <v>2839.5812099999998</v>
      </c>
      <c r="H375" s="141">
        <v>34</v>
      </c>
      <c r="I375" s="141">
        <v>49.129899999999999</v>
      </c>
      <c r="J375" s="141">
        <v>575.20202000000006</v>
      </c>
      <c r="K375" s="141">
        <v>988.7520300000001</v>
      </c>
      <c r="L375" s="141">
        <v>1915.6376600000001</v>
      </c>
      <c r="M375" s="142" t="s">
        <v>189</v>
      </c>
      <c r="N375" s="142" t="s">
        <v>189</v>
      </c>
      <c r="P375" s="610">
        <v>988.7520300000001</v>
      </c>
      <c r="Q375" s="141">
        <f t="shared" si="12"/>
        <v>0</v>
      </c>
    </row>
    <row r="376" spans="1:17" ht="31.5">
      <c r="A376" s="136" t="s">
        <v>2286</v>
      </c>
      <c r="B376" s="137" t="s">
        <v>2289</v>
      </c>
      <c r="C376" s="138" t="s">
        <v>620</v>
      </c>
      <c r="D376" s="138" t="s">
        <v>596</v>
      </c>
      <c r="E376" s="136" t="s">
        <v>1571</v>
      </c>
      <c r="F376" s="419">
        <v>43100</v>
      </c>
      <c r="G376" s="140">
        <v>2830.0220199999999</v>
      </c>
      <c r="H376" s="140">
        <v>18</v>
      </c>
      <c r="I376" s="143" t="s">
        <v>189</v>
      </c>
      <c r="J376" s="140">
        <v>-49.775650000000006</v>
      </c>
      <c r="K376" s="140">
        <v>436.60134999999997</v>
      </c>
      <c r="L376" s="140">
        <v>441.19897000000003</v>
      </c>
      <c r="M376" s="143" t="s">
        <v>189</v>
      </c>
      <c r="N376" s="143" t="s">
        <v>189</v>
      </c>
      <c r="P376" s="608">
        <v>436.60134999999997</v>
      </c>
      <c r="Q376" s="141">
        <f t="shared" si="12"/>
        <v>0</v>
      </c>
    </row>
    <row r="377" spans="1:17" ht="31.5">
      <c r="A377" s="138" t="s">
        <v>2288</v>
      </c>
      <c r="B377" s="135" t="s">
        <v>2291</v>
      </c>
      <c r="C377" s="136" t="s">
        <v>1477</v>
      </c>
      <c r="D377" s="136" t="s">
        <v>1474</v>
      </c>
      <c r="E377" s="138" t="s">
        <v>1571</v>
      </c>
      <c r="F377" s="420">
        <v>43100</v>
      </c>
      <c r="G377" s="141">
        <v>2824.5048099999995</v>
      </c>
      <c r="H377" s="141">
        <v>10</v>
      </c>
      <c r="I377" s="141">
        <v>38.658550000000005</v>
      </c>
      <c r="J377" s="141">
        <v>245.94104999999999</v>
      </c>
      <c r="K377" s="141">
        <v>367.15161999999998</v>
      </c>
      <c r="L377" s="141">
        <v>885.08704</v>
      </c>
      <c r="M377" s="142" t="s">
        <v>189</v>
      </c>
      <c r="N377" s="142" t="s">
        <v>189</v>
      </c>
      <c r="P377" s="610">
        <v>367.15161999999998</v>
      </c>
      <c r="Q377" s="141">
        <f t="shared" si="12"/>
        <v>0</v>
      </c>
    </row>
    <row r="378" spans="1:17" ht="21">
      <c r="A378" s="136" t="s">
        <v>2290</v>
      </c>
      <c r="B378" s="137" t="s">
        <v>2293</v>
      </c>
      <c r="C378" s="138" t="s">
        <v>976</v>
      </c>
      <c r="D378" s="138" t="s">
        <v>975</v>
      </c>
      <c r="E378" s="136" t="s">
        <v>1571</v>
      </c>
      <c r="F378" s="419">
        <v>43100</v>
      </c>
      <c r="G378" s="140">
        <v>2820.8434099999999</v>
      </c>
      <c r="H378" s="140">
        <v>45</v>
      </c>
      <c r="I378" s="140">
        <v>53.652270000000001</v>
      </c>
      <c r="J378" s="140">
        <v>215.9966</v>
      </c>
      <c r="K378" s="140">
        <v>1467.3070600000001</v>
      </c>
      <c r="L378" s="140">
        <v>1768.3857600000001</v>
      </c>
      <c r="M378" s="140">
        <v>5</v>
      </c>
      <c r="N378" s="140">
        <v>3</v>
      </c>
      <c r="O378" s="211">
        <f t="shared" si="11"/>
        <v>0.625</v>
      </c>
      <c r="P378" s="608">
        <v>1467.3070600000001</v>
      </c>
      <c r="Q378" s="141">
        <f t="shared" si="12"/>
        <v>917.06691250000006</v>
      </c>
    </row>
    <row r="379" spans="1:17">
      <c r="A379" s="138" t="s">
        <v>2292</v>
      </c>
      <c r="B379" s="135" t="s">
        <v>2295</v>
      </c>
      <c r="C379" s="136" t="s">
        <v>1206</v>
      </c>
      <c r="D379" s="136" t="s">
        <v>1203</v>
      </c>
      <c r="E379" s="138" t="s">
        <v>1571</v>
      </c>
      <c r="F379" s="420">
        <v>43100</v>
      </c>
      <c r="G379" s="141">
        <v>2803.2441400000002</v>
      </c>
      <c r="H379" s="141">
        <v>51</v>
      </c>
      <c r="I379" s="141">
        <v>19.701409999999999</v>
      </c>
      <c r="J379" s="141">
        <v>84.700100000000006</v>
      </c>
      <c r="K379" s="141">
        <v>1120.2885900000001</v>
      </c>
      <c r="L379" s="141">
        <v>1269.7320099999999</v>
      </c>
      <c r="M379" s="142" t="s">
        <v>189</v>
      </c>
      <c r="N379" s="142" t="s">
        <v>189</v>
      </c>
      <c r="P379" s="610">
        <v>1120.2885900000001</v>
      </c>
      <c r="Q379" s="141">
        <f t="shared" si="12"/>
        <v>0</v>
      </c>
    </row>
    <row r="380" spans="1:17">
      <c r="A380" s="136" t="s">
        <v>2294</v>
      </c>
      <c r="B380" s="137" t="s">
        <v>2297</v>
      </c>
      <c r="C380" s="138" t="s">
        <v>838</v>
      </c>
      <c r="D380" s="138" t="s">
        <v>811</v>
      </c>
      <c r="E380" s="136" t="s">
        <v>1571</v>
      </c>
      <c r="F380" s="419">
        <v>43100</v>
      </c>
      <c r="G380" s="140">
        <v>2802.5724099999998</v>
      </c>
      <c r="H380" s="140">
        <v>6</v>
      </c>
      <c r="I380" s="140">
        <v>36.902320000000003</v>
      </c>
      <c r="J380" s="140">
        <v>155.29729</v>
      </c>
      <c r="K380" s="140">
        <v>407.37893000000008</v>
      </c>
      <c r="L380" s="140">
        <v>619.6006799999999</v>
      </c>
      <c r="M380" s="143" t="s">
        <v>189</v>
      </c>
      <c r="N380" s="143" t="s">
        <v>189</v>
      </c>
      <c r="P380" s="608">
        <v>407.37893000000008</v>
      </c>
      <c r="Q380" s="141">
        <f t="shared" si="12"/>
        <v>0</v>
      </c>
    </row>
    <row r="381" spans="1:17" ht="42">
      <c r="A381" s="138" t="s">
        <v>2296</v>
      </c>
      <c r="B381" s="135" t="s">
        <v>2299</v>
      </c>
      <c r="C381" s="136" t="s">
        <v>1276</v>
      </c>
      <c r="D381" s="136" t="s">
        <v>1266</v>
      </c>
      <c r="E381" s="138" t="s">
        <v>1571</v>
      </c>
      <c r="F381" s="420">
        <v>43100</v>
      </c>
      <c r="G381" s="141">
        <v>2800.09195</v>
      </c>
      <c r="H381" s="141">
        <v>46</v>
      </c>
      <c r="I381" s="141">
        <v>4.5677699999999994</v>
      </c>
      <c r="J381" s="141">
        <v>11.70091</v>
      </c>
      <c r="K381" s="141">
        <v>2199.2626800000003</v>
      </c>
      <c r="L381" s="141">
        <v>2223.4991099999997</v>
      </c>
      <c r="M381" s="142" t="s">
        <v>189</v>
      </c>
      <c r="N381" s="142" t="s">
        <v>189</v>
      </c>
      <c r="P381" s="610">
        <v>2199.2626800000003</v>
      </c>
      <c r="Q381" s="141">
        <f t="shared" si="12"/>
        <v>0</v>
      </c>
    </row>
    <row r="382" spans="1:17">
      <c r="A382" s="136" t="s">
        <v>2298</v>
      </c>
      <c r="B382" s="137" t="s">
        <v>2301</v>
      </c>
      <c r="C382" s="138" t="s">
        <v>669</v>
      </c>
      <c r="D382" s="138" t="s">
        <v>668</v>
      </c>
      <c r="E382" s="136" t="s">
        <v>1571</v>
      </c>
      <c r="F382" s="419">
        <v>43100</v>
      </c>
      <c r="G382" s="140">
        <v>2745.0123199999998</v>
      </c>
      <c r="H382" s="140">
        <v>3</v>
      </c>
      <c r="I382" s="140">
        <v>4.6323400000000001</v>
      </c>
      <c r="J382" s="140">
        <v>16.586867000000002</v>
      </c>
      <c r="K382" s="140">
        <v>141.41737000000001</v>
      </c>
      <c r="L382" s="140">
        <v>164.23269700000003</v>
      </c>
      <c r="M382" s="143" t="s">
        <v>189</v>
      </c>
      <c r="N382" s="143" t="s">
        <v>189</v>
      </c>
      <c r="P382" s="608">
        <v>141.41737000000001</v>
      </c>
      <c r="Q382" s="141">
        <f t="shared" si="12"/>
        <v>0</v>
      </c>
    </row>
    <row r="383" spans="1:17" ht="42">
      <c r="A383" s="138" t="s">
        <v>2300</v>
      </c>
      <c r="B383" s="135" t="s">
        <v>2303</v>
      </c>
      <c r="C383" s="136" t="s">
        <v>662</v>
      </c>
      <c r="D383" s="136" t="s">
        <v>1595</v>
      </c>
      <c r="E383" s="138" t="s">
        <v>1571</v>
      </c>
      <c r="F383" s="420">
        <v>43100</v>
      </c>
      <c r="G383" s="141">
        <v>2719.356139</v>
      </c>
      <c r="H383" s="141">
        <v>19</v>
      </c>
      <c r="I383" s="141">
        <v>34.631010000000003</v>
      </c>
      <c r="J383" s="141">
        <v>125.69772</v>
      </c>
      <c r="K383" s="141">
        <v>536.10307899999987</v>
      </c>
      <c r="L383" s="141">
        <v>749.46112900000003</v>
      </c>
      <c r="M383" s="141">
        <v>15</v>
      </c>
      <c r="N383" s="141">
        <v>13</v>
      </c>
      <c r="O383" s="211">
        <f t="shared" si="11"/>
        <v>0.5357142857142857</v>
      </c>
      <c r="P383" s="610">
        <v>536.10307899999987</v>
      </c>
      <c r="Q383" s="141">
        <f t="shared" si="12"/>
        <v>287.19807803571422</v>
      </c>
    </row>
    <row r="384" spans="1:17" ht="31.5">
      <c r="A384" s="136" t="s">
        <v>2302</v>
      </c>
      <c r="B384" s="137" t="s">
        <v>2305</v>
      </c>
      <c r="C384" s="138" t="s">
        <v>1284</v>
      </c>
      <c r="D384" s="138" t="s">
        <v>1266</v>
      </c>
      <c r="E384" s="136" t="s">
        <v>1571</v>
      </c>
      <c r="F384" s="419">
        <v>43100</v>
      </c>
      <c r="G384" s="140">
        <v>2701.8189090000001</v>
      </c>
      <c r="H384" s="140">
        <v>8</v>
      </c>
      <c r="I384" s="140">
        <v>147.80280999999999</v>
      </c>
      <c r="J384" s="140">
        <v>457.05703000000005</v>
      </c>
      <c r="K384" s="140">
        <v>487.99539000000004</v>
      </c>
      <c r="L384" s="140">
        <v>1100.8471190000002</v>
      </c>
      <c r="M384" s="143" t="s">
        <v>189</v>
      </c>
      <c r="N384" s="143" t="s">
        <v>189</v>
      </c>
      <c r="P384" s="608">
        <v>487.99539000000004</v>
      </c>
      <c r="Q384" s="141">
        <f t="shared" si="12"/>
        <v>0</v>
      </c>
    </row>
    <row r="385" spans="1:17">
      <c r="A385" s="138" t="s">
        <v>2304</v>
      </c>
      <c r="B385" s="135" t="s">
        <v>2307</v>
      </c>
      <c r="C385" s="136" t="s">
        <v>1563</v>
      </c>
      <c r="D385" s="136" t="s">
        <v>1279</v>
      </c>
      <c r="E385" s="138" t="s">
        <v>1571</v>
      </c>
      <c r="F385" s="420">
        <v>43100</v>
      </c>
      <c r="G385" s="141">
        <v>2690.3277800000005</v>
      </c>
      <c r="H385" s="141">
        <v>22</v>
      </c>
      <c r="I385" s="142" t="s">
        <v>189</v>
      </c>
      <c r="J385" s="141">
        <v>32.329960000000007</v>
      </c>
      <c r="K385" s="141">
        <v>939.60291000000007</v>
      </c>
      <c r="L385" s="141">
        <v>1166.0286800000001</v>
      </c>
      <c r="M385" s="142" t="s">
        <v>189</v>
      </c>
      <c r="N385" s="142" t="s">
        <v>189</v>
      </c>
      <c r="P385" s="610">
        <v>939.60291000000007</v>
      </c>
      <c r="Q385" s="141">
        <f t="shared" si="12"/>
        <v>0</v>
      </c>
    </row>
    <row r="386" spans="1:17" ht="21">
      <c r="A386" s="136" t="s">
        <v>2306</v>
      </c>
      <c r="B386" s="139" t="s">
        <v>2309</v>
      </c>
      <c r="C386" s="138" t="s">
        <v>863</v>
      </c>
      <c r="D386" s="138" t="s">
        <v>811</v>
      </c>
      <c r="E386" s="136" t="s">
        <v>1571</v>
      </c>
      <c r="F386" s="419">
        <v>43100</v>
      </c>
      <c r="G386" s="140">
        <v>2681.1355800000001</v>
      </c>
      <c r="H386" s="140">
        <v>15</v>
      </c>
      <c r="I386" s="140">
        <v>0.24905000000000002</v>
      </c>
      <c r="J386" s="140">
        <v>12.92282</v>
      </c>
      <c r="K386" s="140">
        <v>441.31403999999998</v>
      </c>
      <c r="L386" s="140">
        <v>468.66622000000007</v>
      </c>
      <c r="M386" s="143" t="s">
        <v>189</v>
      </c>
      <c r="N386" s="143" t="s">
        <v>189</v>
      </c>
      <c r="P386" s="608">
        <v>441.31403999999998</v>
      </c>
      <c r="Q386" s="141">
        <f t="shared" si="12"/>
        <v>0</v>
      </c>
    </row>
    <row r="387" spans="1:17" ht="21">
      <c r="A387" s="138" t="s">
        <v>2308</v>
      </c>
      <c r="B387" s="135" t="s">
        <v>2311</v>
      </c>
      <c r="C387" s="136" t="s">
        <v>1205</v>
      </c>
      <c r="D387" s="136" t="s">
        <v>1203</v>
      </c>
      <c r="E387" s="138" t="s">
        <v>1571</v>
      </c>
      <c r="F387" s="420">
        <v>40543</v>
      </c>
      <c r="G387" s="141">
        <v>2661.5388399999997</v>
      </c>
      <c r="H387" s="141">
        <v>49</v>
      </c>
      <c r="I387" s="142" t="s">
        <v>189</v>
      </c>
      <c r="J387" s="141">
        <v>-143.92591000000002</v>
      </c>
      <c r="K387" s="141">
        <v>1373.1904500000001</v>
      </c>
      <c r="L387" s="141">
        <v>1317.5908300000001</v>
      </c>
      <c r="M387" s="142" t="s">
        <v>189</v>
      </c>
      <c r="N387" s="142" t="s">
        <v>189</v>
      </c>
      <c r="P387" s="610">
        <v>1373.1904500000001</v>
      </c>
      <c r="Q387" s="141">
        <f t="shared" si="12"/>
        <v>0</v>
      </c>
    </row>
    <row r="388" spans="1:17" ht="21">
      <c r="A388" s="136" t="s">
        <v>2310</v>
      </c>
      <c r="B388" s="137" t="s">
        <v>2313</v>
      </c>
      <c r="C388" s="138" t="s">
        <v>614</v>
      </c>
      <c r="D388" s="138" t="s">
        <v>596</v>
      </c>
      <c r="E388" s="136" t="s">
        <v>1571</v>
      </c>
      <c r="F388" s="419">
        <v>43100</v>
      </c>
      <c r="G388" s="140">
        <v>2659.6331800000003</v>
      </c>
      <c r="H388" s="140">
        <v>26</v>
      </c>
      <c r="I388" s="140">
        <v>6.8880699999999999</v>
      </c>
      <c r="J388" s="140">
        <v>63.254259999999995</v>
      </c>
      <c r="K388" s="140">
        <v>1201.6347499999999</v>
      </c>
      <c r="L388" s="140">
        <v>1435.9672</v>
      </c>
      <c r="M388" s="143" t="s">
        <v>189</v>
      </c>
      <c r="N388" s="143" t="s">
        <v>189</v>
      </c>
      <c r="P388" s="608">
        <v>1201.6347499999999</v>
      </c>
      <c r="Q388" s="141">
        <f t="shared" si="12"/>
        <v>0</v>
      </c>
    </row>
    <row r="389" spans="1:17" ht="21">
      <c r="A389" s="138" t="s">
        <v>2312</v>
      </c>
      <c r="B389" s="135" t="s">
        <v>2315</v>
      </c>
      <c r="C389" s="136" t="s">
        <v>1040</v>
      </c>
      <c r="D389" s="136" t="s">
        <v>971</v>
      </c>
      <c r="E389" s="138" t="s">
        <v>1571</v>
      </c>
      <c r="F389" s="420">
        <v>43100</v>
      </c>
      <c r="G389" s="141">
        <v>2635.3157300000003</v>
      </c>
      <c r="H389" s="141">
        <v>28</v>
      </c>
      <c r="I389" s="141">
        <v>140.74340000000001</v>
      </c>
      <c r="J389" s="141">
        <v>524.60589000000004</v>
      </c>
      <c r="K389" s="141">
        <v>946.97653000000003</v>
      </c>
      <c r="L389" s="141">
        <v>1679.8843999999999</v>
      </c>
      <c r="M389" s="142" t="s">
        <v>189</v>
      </c>
      <c r="N389" s="142" t="s">
        <v>189</v>
      </c>
      <c r="P389" s="610">
        <v>946.97653000000003</v>
      </c>
      <c r="Q389" s="141">
        <f t="shared" si="12"/>
        <v>0</v>
      </c>
    </row>
    <row r="390" spans="1:17" ht="73.5">
      <c r="A390" s="136" t="s">
        <v>2314</v>
      </c>
      <c r="B390" s="137" t="s">
        <v>2317</v>
      </c>
      <c r="C390" s="138" t="s">
        <v>856</v>
      </c>
      <c r="D390" s="138" t="s">
        <v>811</v>
      </c>
      <c r="E390" s="136" t="s">
        <v>1571</v>
      </c>
      <c r="F390" s="419">
        <v>42735</v>
      </c>
      <c r="G390" s="140">
        <v>2626.9189000000001</v>
      </c>
      <c r="H390" s="140">
        <v>28</v>
      </c>
      <c r="I390" s="143" t="s">
        <v>189</v>
      </c>
      <c r="J390" s="140">
        <v>-125.78026</v>
      </c>
      <c r="K390" s="140">
        <v>1455.0887600000001</v>
      </c>
      <c r="L390" s="140">
        <v>1381.1792</v>
      </c>
      <c r="M390" s="143" t="s">
        <v>189</v>
      </c>
      <c r="N390" s="143" t="s">
        <v>189</v>
      </c>
      <c r="P390" s="608">
        <v>1455.0887600000001</v>
      </c>
      <c r="Q390" s="141">
        <f t="shared" si="12"/>
        <v>0</v>
      </c>
    </row>
    <row r="391" spans="1:17">
      <c r="A391" s="138" t="s">
        <v>2316</v>
      </c>
      <c r="B391" s="135" t="s">
        <v>2319</v>
      </c>
      <c r="C391" s="136" t="s">
        <v>684</v>
      </c>
      <c r="D391" s="136" t="s">
        <v>681</v>
      </c>
      <c r="E391" s="138" t="s">
        <v>1571</v>
      </c>
      <c r="F391" s="420">
        <v>43100</v>
      </c>
      <c r="G391" s="141">
        <v>2617.277</v>
      </c>
      <c r="H391" s="141">
        <v>8</v>
      </c>
      <c r="I391" s="141">
        <v>89.701999999999998</v>
      </c>
      <c r="J391" s="141">
        <v>1127.0889999999999</v>
      </c>
      <c r="K391" s="141">
        <v>248.404</v>
      </c>
      <c r="L391" s="141">
        <v>1947.0450000000001</v>
      </c>
      <c r="M391" s="141">
        <v>3</v>
      </c>
      <c r="N391" s="141">
        <v>9</v>
      </c>
      <c r="O391" s="211">
        <f t="shared" si="11"/>
        <v>0.25</v>
      </c>
      <c r="P391" s="610">
        <v>248.404</v>
      </c>
      <c r="Q391" s="141">
        <f t="shared" si="12"/>
        <v>62.100999999999999</v>
      </c>
    </row>
    <row r="392" spans="1:17" ht="21">
      <c r="A392" s="136" t="s">
        <v>2318</v>
      </c>
      <c r="B392" s="137" t="s">
        <v>2321</v>
      </c>
      <c r="C392" s="138" t="s">
        <v>766</v>
      </c>
      <c r="D392" s="138" t="s">
        <v>753</v>
      </c>
      <c r="E392" s="136" t="s">
        <v>1571</v>
      </c>
      <c r="F392" s="419">
        <v>43100</v>
      </c>
      <c r="G392" s="140">
        <v>2614.5852300000001</v>
      </c>
      <c r="H392" s="140">
        <v>19</v>
      </c>
      <c r="I392" s="140">
        <v>31.420819999999999</v>
      </c>
      <c r="J392" s="140">
        <v>204.15454000000003</v>
      </c>
      <c r="K392" s="140">
        <v>732.62214000000006</v>
      </c>
      <c r="L392" s="140">
        <v>1026.94217</v>
      </c>
      <c r="M392" s="140">
        <v>5</v>
      </c>
      <c r="N392" s="140">
        <v>9</v>
      </c>
      <c r="O392" s="211">
        <f t="shared" si="11"/>
        <v>0.35714285714285715</v>
      </c>
      <c r="P392" s="608">
        <v>732.62214000000006</v>
      </c>
      <c r="Q392" s="141">
        <f t="shared" si="12"/>
        <v>261.65076428571433</v>
      </c>
    </row>
    <row r="393" spans="1:17" ht="21">
      <c r="A393" s="138" t="s">
        <v>2320</v>
      </c>
      <c r="B393" s="135" t="s">
        <v>2323</v>
      </c>
      <c r="C393" s="136" t="s">
        <v>1567</v>
      </c>
      <c r="D393" s="136" t="s">
        <v>1456</v>
      </c>
      <c r="E393" s="138" t="s">
        <v>1571</v>
      </c>
      <c r="F393" s="420">
        <v>43100</v>
      </c>
      <c r="G393" s="141">
        <v>2607.32809</v>
      </c>
      <c r="H393" s="141">
        <v>12</v>
      </c>
      <c r="I393" s="141">
        <v>52.371420000000001</v>
      </c>
      <c r="J393" s="141">
        <v>201.8272</v>
      </c>
      <c r="K393" s="141">
        <v>584.36188000000004</v>
      </c>
      <c r="L393" s="141">
        <v>1004.0994400000001</v>
      </c>
      <c r="M393" s="141">
        <v>3</v>
      </c>
      <c r="N393" s="141">
        <v>17</v>
      </c>
      <c r="O393" s="211">
        <f t="shared" si="11"/>
        <v>0.15</v>
      </c>
      <c r="P393" s="610">
        <v>584.36188000000004</v>
      </c>
      <c r="Q393" s="141">
        <f t="shared" si="12"/>
        <v>87.654282000000009</v>
      </c>
    </row>
    <row r="394" spans="1:17" ht="31.5">
      <c r="A394" s="136" t="s">
        <v>2322</v>
      </c>
      <c r="B394" s="137" t="s">
        <v>2325</v>
      </c>
      <c r="C394" s="138" t="s">
        <v>759</v>
      </c>
      <c r="D394" s="138" t="s">
        <v>753</v>
      </c>
      <c r="E394" s="136" t="s">
        <v>1571</v>
      </c>
      <c r="F394" s="419">
        <v>43100</v>
      </c>
      <c r="G394" s="140">
        <v>2590.8307800000002</v>
      </c>
      <c r="H394" s="140">
        <v>9</v>
      </c>
      <c r="I394" s="140">
        <v>8.1474799999999998</v>
      </c>
      <c r="J394" s="140">
        <v>52.566159999999996</v>
      </c>
      <c r="K394" s="140">
        <v>360.98066999999998</v>
      </c>
      <c r="L394" s="140">
        <v>435.15285</v>
      </c>
      <c r="M394" s="143" t="s">
        <v>189</v>
      </c>
      <c r="N394" s="143" t="s">
        <v>189</v>
      </c>
      <c r="P394" s="608">
        <v>360.98066999999998</v>
      </c>
      <c r="Q394" s="141">
        <f t="shared" si="12"/>
        <v>0</v>
      </c>
    </row>
    <row r="395" spans="1:17" ht="42">
      <c r="A395" s="138" t="s">
        <v>2324</v>
      </c>
      <c r="B395" s="421" t="s">
        <v>2327</v>
      </c>
      <c r="C395" s="136" t="s">
        <v>1488</v>
      </c>
      <c r="D395" s="136" t="s">
        <v>1474</v>
      </c>
      <c r="E395" s="138" t="s">
        <v>1571</v>
      </c>
      <c r="F395" s="420">
        <v>43100</v>
      </c>
      <c r="G395" s="141">
        <v>2589.5672200000004</v>
      </c>
      <c r="H395" s="141">
        <v>5</v>
      </c>
      <c r="I395" s="141">
        <v>45.974609999999998</v>
      </c>
      <c r="J395" s="141">
        <v>145.58625000000001</v>
      </c>
      <c r="K395" s="141">
        <v>227.83676000000003</v>
      </c>
      <c r="L395" s="141">
        <v>449.49382900000006</v>
      </c>
      <c r="M395" s="142" t="s">
        <v>189</v>
      </c>
      <c r="N395" s="142" t="s">
        <v>189</v>
      </c>
      <c r="P395" s="610">
        <v>227.83676000000003</v>
      </c>
      <c r="Q395" s="141">
        <f t="shared" si="12"/>
        <v>0</v>
      </c>
    </row>
    <row r="396" spans="1:17" ht="42">
      <c r="A396" s="136" t="s">
        <v>2326</v>
      </c>
      <c r="B396" s="137" t="s">
        <v>2329</v>
      </c>
      <c r="C396" s="138" t="s">
        <v>973</v>
      </c>
      <c r="D396" s="138" t="s">
        <v>811</v>
      </c>
      <c r="E396" s="136" t="s">
        <v>1571</v>
      </c>
      <c r="F396" s="419">
        <v>42735</v>
      </c>
      <c r="G396" s="140">
        <v>2565.1242299999999</v>
      </c>
      <c r="H396" s="140">
        <v>21</v>
      </c>
      <c r="I396" s="143" t="s">
        <v>189</v>
      </c>
      <c r="J396" s="140">
        <v>-68.000230000000002</v>
      </c>
      <c r="K396" s="140">
        <v>1112.1036700000002</v>
      </c>
      <c r="L396" s="140">
        <v>1454.0895990000001</v>
      </c>
      <c r="M396" s="140">
        <v>3</v>
      </c>
      <c r="N396" s="140">
        <v>6</v>
      </c>
      <c r="O396" s="211">
        <f t="shared" si="11"/>
        <v>0.33333333333333331</v>
      </c>
      <c r="P396" s="608">
        <v>1112.1036700000002</v>
      </c>
      <c r="Q396" s="141">
        <f t="shared" si="12"/>
        <v>370.70122333333336</v>
      </c>
    </row>
    <row r="397" spans="1:17" ht="21">
      <c r="A397" s="138" t="s">
        <v>2328</v>
      </c>
      <c r="B397" s="135" t="s">
        <v>2331</v>
      </c>
      <c r="C397" s="136" t="s">
        <v>1121</v>
      </c>
      <c r="D397" s="136" t="s">
        <v>1112</v>
      </c>
      <c r="E397" s="138" t="s">
        <v>1571</v>
      </c>
      <c r="F397" s="420">
        <v>43100</v>
      </c>
      <c r="G397" s="141">
        <v>2562.2999</v>
      </c>
      <c r="H397" s="141">
        <v>22</v>
      </c>
      <c r="I397" s="141">
        <v>45.072010000000006</v>
      </c>
      <c r="J397" s="141">
        <v>138.58338999999998</v>
      </c>
      <c r="K397" s="141">
        <v>847.49119999999994</v>
      </c>
      <c r="L397" s="141">
        <v>1060.3240490000001</v>
      </c>
      <c r="M397" s="142" t="s">
        <v>189</v>
      </c>
      <c r="N397" s="142" t="s">
        <v>189</v>
      </c>
      <c r="P397" s="610">
        <v>847.49119999999994</v>
      </c>
      <c r="Q397" s="141">
        <f t="shared" si="12"/>
        <v>0</v>
      </c>
    </row>
    <row r="398" spans="1:17">
      <c r="A398" s="136" t="s">
        <v>2330</v>
      </c>
      <c r="B398" s="137" t="s">
        <v>2333</v>
      </c>
      <c r="C398" s="138" t="s">
        <v>1255</v>
      </c>
      <c r="D398" s="138" t="s">
        <v>1251</v>
      </c>
      <c r="E398" s="136" t="s">
        <v>1571</v>
      </c>
      <c r="F398" s="419">
        <v>43100</v>
      </c>
      <c r="G398" s="140">
        <v>2529.2927000000004</v>
      </c>
      <c r="H398" s="140">
        <v>12</v>
      </c>
      <c r="I398" s="140">
        <v>36.937089999999998</v>
      </c>
      <c r="J398" s="140">
        <v>116.04963000000001</v>
      </c>
      <c r="K398" s="140">
        <v>501.83503000000002</v>
      </c>
      <c r="L398" s="140">
        <v>710.53716000000009</v>
      </c>
      <c r="M398" s="140">
        <v>2</v>
      </c>
      <c r="N398" s="140">
        <v>10</v>
      </c>
      <c r="O398" s="211">
        <f t="shared" si="11"/>
        <v>0.16666666666666666</v>
      </c>
      <c r="P398" s="608">
        <v>501.83503000000002</v>
      </c>
      <c r="Q398" s="141">
        <f t="shared" si="12"/>
        <v>83.63917166666667</v>
      </c>
    </row>
    <row r="399" spans="1:17" ht="31.5">
      <c r="A399" s="138" t="s">
        <v>2332</v>
      </c>
      <c r="B399" s="135" t="s">
        <v>2335</v>
      </c>
      <c r="C399" s="136" t="s">
        <v>1500</v>
      </c>
      <c r="D399" s="136" t="s">
        <v>1501</v>
      </c>
      <c r="E399" s="138" t="s">
        <v>1571</v>
      </c>
      <c r="F399" s="420">
        <v>43100</v>
      </c>
      <c r="G399" s="141">
        <v>2528.2847999999999</v>
      </c>
      <c r="H399" s="141">
        <v>14</v>
      </c>
      <c r="I399" s="141">
        <v>50.094519999999996</v>
      </c>
      <c r="J399" s="141">
        <v>214.50684999999999</v>
      </c>
      <c r="K399" s="141">
        <v>420.12986000000001</v>
      </c>
      <c r="L399" s="141">
        <v>1060.72703</v>
      </c>
      <c r="M399" s="141">
        <v>1</v>
      </c>
      <c r="N399" s="141">
        <v>10</v>
      </c>
      <c r="O399" s="211">
        <f t="shared" si="11"/>
        <v>9.0909090909090912E-2</v>
      </c>
      <c r="P399" s="610">
        <v>420.12986000000001</v>
      </c>
      <c r="Q399" s="141">
        <f t="shared" si="12"/>
        <v>38.19362363636364</v>
      </c>
    </row>
    <row r="400" spans="1:17" ht="31.5">
      <c r="A400" s="136" t="s">
        <v>2334</v>
      </c>
      <c r="B400" s="137" t="s">
        <v>2337</v>
      </c>
      <c r="C400" s="138" t="s">
        <v>1067</v>
      </c>
      <c r="D400" s="138" t="s">
        <v>971</v>
      </c>
      <c r="E400" s="136" t="s">
        <v>1571</v>
      </c>
      <c r="F400" s="419">
        <v>43100</v>
      </c>
      <c r="G400" s="140">
        <v>2522.58295</v>
      </c>
      <c r="H400" s="140">
        <v>22</v>
      </c>
      <c r="I400" s="140">
        <v>168.26007999999999</v>
      </c>
      <c r="J400" s="140">
        <v>532.82357899999988</v>
      </c>
      <c r="K400" s="140">
        <v>868.99883000000011</v>
      </c>
      <c r="L400" s="140">
        <v>1629.013929</v>
      </c>
      <c r="M400" s="143" t="s">
        <v>189</v>
      </c>
      <c r="N400" s="143" t="s">
        <v>189</v>
      </c>
      <c r="P400" s="608">
        <v>868.99883000000011</v>
      </c>
      <c r="Q400" s="141">
        <f t="shared" si="12"/>
        <v>0</v>
      </c>
    </row>
    <row r="401" spans="1:17" ht="42">
      <c r="A401" s="138" t="s">
        <v>2336</v>
      </c>
      <c r="B401" s="135" t="s">
        <v>2339</v>
      </c>
      <c r="C401" s="136" t="s">
        <v>1388</v>
      </c>
      <c r="D401" s="136" t="s">
        <v>811</v>
      </c>
      <c r="E401" s="138" t="s">
        <v>1571</v>
      </c>
      <c r="F401" s="420">
        <v>43100</v>
      </c>
      <c r="G401" s="141">
        <v>2519.78179</v>
      </c>
      <c r="H401" s="141">
        <v>4</v>
      </c>
      <c r="I401" s="141">
        <v>30.560000000000002</v>
      </c>
      <c r="J401" s="141">
        <v>140.81829999999999</v>
      </c>
      <c r="K401" s="141">
        <v>181.98856000000001</v>
      </c>
      <c r="L401" s="141">
        <v>356.37473000000006</v>
      </c>
      <c r="M401" s="142" t="s">
        <v>189</v>
      </c>
      <c r="N401" s="142" t="s">
        <v>189</v>
      </c>
      <c r="P401" s="610">
        <v>181.98856000000001</v>
      </c>
      <c r="Q401" s="141">
        <f t="shared" si="12"/>
        <v>0</v>
      </c>
    </row>
    <row r="402" spans="1:17" ht="21">
      <c r="A402" s="136" t="s">
        <v>2338</v>
      </c>
      <c r="B402" s="137" t="s">
        <v>2341</v>
      </c>
      <c r="C402" s="138" t="s">
        <v>1301</v>
      </c>
      <c r="D402" s="138" t="s">
        <v>1266</v>
      </c>
      <c r="E402" s="136" t="s">
        <v>1571</v>
      </c>
      <c r="F402" s="419">
        <v>42369</v>
      </c>
      <c r="G402" s="140">
        <v>2502.6203</v>
      </c>
      <c r="H402" s="140">
        <v>10</v>
      </c>
      <c r="I402" s="143" t="s">
        <v>189</v>
      </c>
      <c r="J402" s="140">
        <v>15.564830000000001</v>
      </c>
      <c r="K402" s="140">
        <v>301.32580999999999</v>
      </c>
      <c r="L402" s="140">
        <v>325.71853000000004</v>
      </c>
      <c r="M402" s="143" t="s">
        <v>189</v>
      </c>
      <c r="N402" s="143" t="s">
        <v>189</v>
      </c>
      <c r="P402" s="608">
        <v>301.32580999999999</v>
      </c>
      <c r="Q402" s="141">
        <f t="shared" si="12"/>
        <v>0</v>
      </c>
    </row>
    <row r="403" spans="1:17">
      <c r="A403" s="138" t="s">
        <v>2340</v>
      </c>
      <c r="B403" s="135" t="s">
        <v>2343</v>
      </c>
      <c r="C403" s="136" t="s">
        <v>1260</v>
      </c>
      <c r="D403" s="136" t="s">
        <v>1251</v>
      </c>
      <c r="E403" s="138" t="s">
        <v>1571</v>
      </c>
      <c r="F403" s="420">
        <v>43100</v>
      </c>
      <c r="G403" s="141">
        <v>2495.7023199999999</v>
      </c>
      <c r="H403" s="141">
        <v>7</v>
      </c>
      <c r="I403" s="141">
        <v>1.76475</v>
      </c>
      <c r="J403" s="141">
        <v>5.5883700000000003</v>
      </c>
      <c r="K403" s="141">
        <v>339.37029999999999</v>
      </c>
      <c r="L403" s="141">
        <v>419.95597000000004</v>
      </c>
      <c r="M403" s="141">
        <v>5</v>
      </c>
      <c r="N403" s="141">
        <v>14</v>
      </c>
      <c r="O403" s="211">
        <f t="shared" si="11"/>
        <v>0.26315789473684209</v>
      </c>
      <c r="P403" s="610">
        <v>339.37029999999999</v>
      </c>
      <c r="Q403" s="141">
        <f t="shared" si="12"/>
        <v>89.307973684210523</v>
      </c>
    </row>
    <row r="404" spans="1:17" ht="21">
      <c r="A404" s="136" t="s">
        <v>2342</v>
      </c>
      <c r="B404" s="137" t="s">
        <v>2345</v>
      </c>
      <c r="C404" s="138" t="s">
        <v>1464</v>
      </c>
      <c r="D404" s="138" t="s">
        <v>1461</v>
      </c>
      <c r="E404" s="136" t="s">
        <v>1571</v>
      </c>
      <c r="F404" s="419">
        <v>42004</v>
      </c>
      <c r="G404" s="140">
        <v>2487.6693799999998</v>
      </c>
      <c r="H404" s="143" t="s">
        <v>189</v>
      </c>
      <c r="I404" s="143" t="s">
        <v>189</v>
      </c>
      <c r="J404" s="140">
        <v>23.80743</v>
      </c>
      <c r="K404" s="140">
        <v>526.61028999999996</v>
      </c>
      <c r="L404" s="140">
        <v>581.01989000000003</v>
      </c>
      <c r="M404" s="143" t="s">
        <v>189</v>
      </c>
      <c r="N404" s="143" t="s">
        <v>189</v>
      </c>
      <c r="P404" s="608">
        <v>526.61028999999996</v>
      </c>
      <c r="Q404" s="141">
        <f t="shared" si="12"/>
        <v>0</v>
      </c>
    </row>
    <row r="405" spans="1:17" ht="21">
      <c r="A405" s="138" t="s">
        <v>2344</v>
      </c>
      <c r="B405" s="135" t="s">
        <v>2347</v>
      </c>
      <c r="C405" s="136" t="s">
        <v>1109</v>
      </c>
      <c r="D405" s="136" t="s">
        <v>969</v>
      </c>
      <c r="E405" s="138" t="s">
        <v>1571</v>
      </c>
      <c r="F405" s="420">
        <v>43100</v>
      </c>
      <c r="G405" s="141">
        <v>2484.9386300000001</v>
      </c>
      <c r="H405" s="141">
        <v>12</v>
      </c>
      <c r="I405" s="141">
        <v>0.79701999999999995</v>
      </c>
      <c r="J405" s="141">
        <v>-20.555099999999999</v>
      </c>
      <c r="K405" s="141">
        <v>604.88935000000015</v>
      </c>
      <c r="L405" s="141">
        <v>687.40367999999989</v>
      </c>
      <c r="M405" s="142" t="s">
        <v>189</v>
      </c>
      <c r="N405" s="142" t="s">
        <v>189</v>
      </c>
      <c r="P405" s="610">
        <v>604.88935000000015</v>
      </c>
      <c r="Q405" s="141">
        <f t="shared" si="12"/>
        <v>0</v>
      </c>
    </row>
    <row r="406" spans="1:17" ht="52.5">
      <c r="A406" s="136" t="s">
        <v>2346</v>
      </c>
      <c r="B406" s="137" t="s">
        <v>2349</v>
      </c>
      <c r="C406" s="138" t="s">
        <v>1068</v>
      </c>
      <c r="D406" s="138" t="s">
        <v>969</v>
      </c>
      <c r="E406" s="136" t="s">
        <v>1571</v>
      </c>
      <c r="F406" s="419">
        <v>43100</v>
      </c>
      <c r="G406" s="140">
        <v>2455.3557600000004</v>
      </c>
      <c r="H406" s="140">
        <v>11</v>
      </c>
      <c r="I406" s="140">
        <v>52.311169999999997</v>
      </c>
      <c r="J406" s="140">
        <v>198.10506000000001</v>
      </c>
      <c r="K406" s="140">
        <v>598.45721000000003</v>
      </c>
      <c r="L406" s="140">
        <v>992.30827899999986</v>
      </c>
      <c r="M406" s="143" t="s">
        <v>189</v>
      </c>
      <c r="N406" s="143" t="s">
        <v>189</v>
      </c>
      <c r="P406" s="608">
        <v>598.45721000000003</v>
      </c>
      <c r="Q406" s="141">
        <f t="shared" si="12"/>
        <v>0</v>
      </c>
    </row>
    <row r="407" spans="1:17" ht="31.5">
      <c r="A407" s="138" t="s">
        <v>2348</v>
      </c>
      <c r="B407" s="135" t="s">
        <v>2351</v>
      </c>
      <c r="C407" s="136" t="s">
        <v>1059</v>
      </c>
      <c r="D407" s="136" t="s">
        <v>969</v>
      </c>
      <c r="E407" s="138" t="s">
        <v>1571</v>
      </c>
      <c r="F407" s="420">
        <v>43100</v>
      </c>
      <c r="G407" s="141">
        <v>2432.9065000000001</v>
      </c>
      <c r="H407" s="141">
        <v>19</v>
      </c>
      <c r="I407" s="142" t="s">
        <v>189</v>
      </c>
      <c r="J407" s="141">
        <v>10.67169</v>
      </c>
      <c r="K407" s="141">
        <v>641.88671999999997</v>
      </c>
      <c r="L407" s="141">
        <v>761.33411899999999</v>
      </c>
      <c r="M407" s="142" t="s">
        <v>189</v>
      </c>
      <c r="N407" s="142" t="s">
        <v>189</v>
      </c>
      <c r="P407" s="610">
        <v>641.88671999999997</v>
      </c>
      <c r="Q407" s="141">
        <f t="shared" si="12"/>
        <v>0</v>
      </c>
    </row>
    <row r="408" spans="1:17" ht="31.5">
      <c r="A408" s="136" t="s">
        <v>2350</v>
      </c>
      <c r="B408" s="137" t="s">
        <v>2353</v>
      </c>
      <c r="C408" s="138" t="s">
        <v>1103</v>
      </c>
      <c r="D408" s="138" t="s">
        <v>969</v>
      </c>
      <c r="E408" s="136" t="s">
        <v>1571</v>
      </c>
      <c r="F408" s="419">
        <v>43100</v>
      </c>
      <c r="G408" s="140">
        <v>2425.3761789999999</v>
      </c>
      <c r="H408" s="140">
        <v>58</v>
      </c>
      <c r="I408" s="140">
        <v>27.943639999999998</v>
      </c>
      <c r="J408" s="140">
        <v>1.74552</v>
      </c>
      <c r="K408" s="140">
        <v>819.37625000000003</v>
      </c>
      <c r="L408" s="140">
        <v>923.29047000000003</v>
      </c>
      <c r="M408" s="140">
        <v>5</v>
      </c>
      <c r="N408" s="140">
        <v>5</v>
      </c>
      <c r="O408" s="211">
        <f t="shared" si="11"/>
        <v>0.5</v>
      </c>
      <c r="P408" s="608">
        <v>819.37625000000003</v>
      </c>
      <c r="Q408" s="141">
        <f t="shared" si="12"/>
        <v>409.68812500000001</v>
      </c>
    </row>
    <row r="409" spans="1:17" ht="21">
      <c r="A409" s="138" t="s">
        <v>2352</v>
      </c>
      <c r="B409" s="135" t="s">
        <v>2355</v>
      </c>
      <c r="C409" s="136" t="s">
        <v>959</v>
      </c>
      <c r="D409" s="136" t="s">
        <v>811</v>
      </c>
      <c r="E409" s="138" t="s">
        <v>1571</v>
      </c>
      <c r="F409" s="420">
        <v>43100</v>
      </c>
      <c r="G409" s="141">
        <v>2419.9340000000002</v>
      </c>
      <c r="H409" s="141">
        <v>21</v>
      </c>
      <c r="I409" s="141"/>
      <c r="J409" s="141">
        <v>-121.15260000000001</v>
      </c>
      <c r="K409" s="141">
        <v>1216.8920000000001</v>
      </c>
      <c r="L409" s="141">
        <v>1219.865</v>
      </c>
      <c r="M409" s="142" t="s">
        <v>189</v>
      </c>
      <c r="N409" s="142" t="s">
        <v>189</v>
      </c>
      <c r="P409" s="610">
        <v>1216.8920000000001</v>
      </c>
      <c r="Q409" s="141">
        <f t="shared" si="12"/>
        <v>0</v>
      </c>
    </row>
    <row r="410" spans="1:17" ht="52.5">
      <c r="A410" s="136" t="s">
        <v>2354</v>
      </c>
      <c r="B410" s="137" t="s">
        <v>2357</v>
      </c>
      <c r="C410" s="138" t="s">
        <v>1459</v>
      </c>
      <c r="D410" s="138" t="s">
        <v>1456</v>
      </c>
      <c r="E410" s="136" t="s">
        <v>1571</v>
      </c>
      <c r="F410" s="419">
        <v>43100</v>
      </c>
      <c r="G410" s="140">
        <v>2385.1502800000003</v>
      </c>
      <c r="H410" s="140">
        <v>19</v>
      </c>
      <c r="I410" s="140">
        <v>62.504669999999997</v>
      </c>
      <c r="J410" s="140">
        <v>265.85646000000003</v>
      </c>
      <c r="K410" s="140">
        <v>896.11003000000005</v>
      </c>
      <c r="L410" s="140">
        <v>1257.69949</v>
      </c>
      <c r="M410" s="140">
        <v>8</v>
      </c>
      <c r="N410" s="140">
        <v>8</v>
      </c>
      <c r="O410" s="211">
        <f t="shared" si="11"/>
        <v>0.5</v>
      </c>
      <c r="P410" s="608">
        <v>896.11003000000005</v>
      </c>
      <c r="Q410" s="141">
        <f t="shared" si="12"/>
        <v>448.05501500000003</v>
      </c>
    </row>
    <row r="411" spans="1:17" ht="21">
      <c r="A411" s="138" t="s">
        <v>2356</v>
      </c>
      <c r="B411" s="135" t="s">
        <v>2359</v>
      </c>
      <c r="C411" s="136" t="s">
        <v>1094</v>
      </c>
      <c r="D411" s="136" t="s">
        <v>969</v>
      </c>
      <c r="E411" s="138" t="s">
        <v>1571</v>
      </c>
      <c r="F411" s="420">
        <v>43100</v>
      </c>
      <c r="G411" s="141">
        <v>2359.5996800000003</v>
      </c>
      <c r="H411" s="141">
        <v>23</v>
      </c>
      <c r="I411" s="141">
        <v>37.481219999999993</v>
      </c>
      <c r="J411" s="141">
        <v>118.69051</v>
      </c>
      <c r="K411" s="141">
        <v>1083.7273900000002</v>
      </c>
      <c r="L411" s="141">
        <v>1283.528229</v>
      </c>
      <c r="M411" s="142" t="s">
        <v>189</v>
      </c>
      <c r="N411" s="142" t="s">
        <v>189</v>
      </c>
      <c r="P411" s="610">
        <v>1083.7273900000002</v>
      </c>
      <c r="Q411" s="141">
        <f t="shared" si="12"/>
        <v>0</v>
      </c>
    </row>
    <row r="412" spans="1:17" ht="42">
      <c r="A412" s="136" t="s">
        <v>2358</v>
      </c>
      <c r="B412" s="137" t="s">
        <v>2361</v>
      </c>
      <c r="C412" s="138" t="s">
        <v>1437</v>
      </c>
      <c r="D412" s="138" t="s">
        <v>1429</v>
      </c>
      <c r="E412" s="136" t="s">
        <v>1571</v>
      </c>
      <c r="F412" s="419">
        <v>43100</v>
      </c>
      <c r="G412" s="140">
        <v>2356.4047390000001</v>
      </c>
      <c r="H412" s="140">
        <v>18</v>
      </c>
      <c r="I412" s="140">
        <v>14.524559999999999</v>
      </c>
      <c r="J412" s="140">
        <v>40.295200000000001</v>
      </c>
      <c r="K412" s="140">
        <v>692.65294000000006</v>
      </c>
      <c r="L412" s="140">
        <v>793.89128899999992</v>
      </c>
      <c r="M412" s="143" t="s">
        <v>189</v>
      </c>
      <c r="N412" s="143" t="s">
        <v>189</v>
      </c>
      <c r="P412" s="608">
        <v>692.65294000000006</v>
      </c>
      <c r="Q412" s="141">
        <f t="shared" si="12"/>
        <v>0</v>
      </c>
    </row>
    <row r="413" spans="1:17">
      <c r="A413" s="138" t="s">
        <v>2360</v>
      </c>
      <c r="B413" s="135" t="s">
        <v>2363</v>
      </c>
      <c r="C413" s="136" t="s">
        <v>1401</v>
      </c>
      <c r="D413" s="136" t="s">
        <v>2364</v>
      </c>
      <c r="E413" s="138" t="s">
        <v>1571</v>
      </c>
      <c r="F413" s="420">
        <v>43100</v>
      </c>
      <c r="G413" s="141">
        <v>2355.9069399999998</v>
      </c>
      <c r="H413" s="141">
        <v>36</v>
      </c>
      <c r="I413" s="141">
        <v>24.530629999999999</v>
      </c>
      <c r="J413" s="141">
        <v>61.840139999999998</v>
      </c>
      <c r="K413" s="141">
        <v>1455.0386000000001</v>
      </c>
      <c r="L413" s="141">
        <v>1790.47999</v>
      </c>
      <c r="M413" s="142" t="s">
        <v>189</v>
      </c>
      <c r="N413" s="142" t="s">
        <v>189</v>
      </c>
      <c r="P413" s="610">
        <v>1455.0386000000001</v>
      </c>
      <c r="Q413" s="141">
        <f t="shared" si="12"/>
        <v>0</v>
      </c>
    </row>
    <row r="414" spans="1:17" ht="21">
      <c r="A414" s="136" t="s">
        <v>2362</v>
      </c>
      <c r="B414" s="137" t="s">
        <v>2366</v>
      </c>
      <c r="C414" s="138" t="s">
        <v>1498</v>
      </c>
      <c r="D414" s="138" t="s">
        <v>1474</v>
      </c>
      <c r="E414" s="136" t="s">
        <v>1571</v>
      </c>
      <c r="F414" s="419">
        <v>43100</v>
      </c>
      <c r="G414" s="140">
        <v>2349.6076200000002</v>
      </c>
      <c r="H414" s="140">
        <v>21</v>
      </c>
      <c r="I414" s="140"/>
      <c r="J414" s="140">
        <v>-81.235709999999997</v>
      </c>
      <c r="K414" s="140">
        <v>615.2002</v>
      </c>
      <c r="L414" s="140">
        <v>648.65444000000002</v>
      </c>
      <c r="M414" s="140">
        <v>1</v>
      </c>
      <c r="N414" s="140">
        <v>8</v>
      </c>
      <c r="O414" s="211">
        <f t="shared" ref="O414:O474" si="13">M414/(M414+N414)</f>
        <v>0.1111111111111111</v>
      </c>
      <c r="P414" s="608">
        <v>615.2002</v>
      </c>
      <c r="Q414" s="141">
        <f t="shared" si="12"/>
        <v>68.355577777777768</v>
      </c>
    </row>
    <row r="415" spans="1:17">
      <c r="A415" s="138" t="s">
        <v>2365</v>
      </c>
      <c r="B415" s="135" t="s">
        <v>2368</v>
      </c>
      <c r="C415" s="136" t="s">
        <v>1091</v>
      </c>
      <c r="D415" s="136" t="s">
        <v>969</v>
      </c>
      <c r="E415" s="138" t="s">
        <v>1571</v>
      </c>
      <c r="F415" s="420">
        <v>43100</v>
      </c>
      <c r="G415" s="141">
        <v>2345.9342999999999</v>
      </c>
      <c r="H415" s="141">
        <v>10</v>
      </c>
      <c r="I415" s="142" t="s">
        <v>189</v>
      </c>
      <c r="J415" s="141">
        <v>-3.1125900000000004</v>
      </c>
      <c r="K415" s="141">
        <v>408.10915</v>
      </c>
      <c r="L415" s="141">
        <v>416.08809000000002</v>
      </c>
      <c r="M415" s="142" t="s">
        <v>189</v>
      </c>
      <c r="N415" s="142" t="s">
        <v>189</v>
      </c>
      <c r="P415" s="610">
        <v>408.10915</v>
      </c>
      <c r="Q415" s="141">
        <f t="shared" si="12"/>
        <v>0</v>
      </c>
    </row>
    <row r="416" spans="1:17" ht="42">
      <c r="A416" s="136" t="s">
        <v>2367</v>
      </c>
      <c r="B416" s="137" t="s">
        <v>2370</v>
      </c>
      <c r="C416" s="138" t="s">
        <v>675</v>
      </c>
      <c r="D416" s="138" t="s">
        <v>673</v>
      </c>
      <c r="E416" s="136" t="s">
        <v>1571</v>
      </c>
      <c r="F416" s="419">
        <v>43100</v>
      </c>
      <c r="G416" s="140">
        <v>2341.8812000000003</v>
      </c>
      <c r="H416" s="140">
        <v>18</v>
      </c>
      <c r="I416" s="140">
        <v>1.1155200000000001</v>
      </c>
      <c r="J416" s="140">
        <v>20.712700000000002</v>
      </c>
      <c r="K416" s="140">
        <v>484.10619000000003</v>
      </c>
      <c r="L416" s="140">
        <v>559.37361999999996</v>
      </c>
      <c r="M416" s="140">
        <v>1</v>
      </c>
      <c r="N416" s="140">
        <v>23</v>
      </c>
      <c r="O416" s="211">
        <f t="shared" si="13"/>
        <v>4.1666666666666664E-2</v>
      </c>
      <c r="P416" s="608">
        <v>484.10619000000003</v>
      </c>
      <c r="Q416" s="141">
        <f t="shared" si="12"/>
        <v>20.17109125</v>
      </c>
    </row>
    <row r="417" spans="1:17" ht="31.5">
      <c r="A417" s="138" t="s">
        <v>2369</v>
      </c>
      <c r="B417" s="135" t="s">
        <v>2372</v>
      </c>
      <c r="C417" s="136" t="s">
        <v>1102</v>
      </c>
      <c r="D417" s="136" t="s">
        <v>969</v>
      </c>
      <c r="E417" s="138" t="s">
        <v>1571</v>
      </c>
      <c r="F417" s="420">
        <v>43100</v>
      </c>
      <c r="G417" s="141">
        <v>2341.7806099999998</v>
      </c>
      <c r="H417" s="141">
        <v>16</v>
      </c>
      <c r="I417" s="141">
        <v>1.7981099999999999</v>
      </c>
      <c r="J417" s="141">
        <v>5.6939900000000003</v>
      </c>
      <c r="K417" s="141">
        <v>683.31434000000013</v>
      </c>
      <c r="L417" s="141">
        <v>784.79659000000004</v>
      </c>
      <c r="M417" s="141">
        <v>4</v>
      </c>
      <c r="N417" s="141">
        <v>16</v>
      </c>
      <c r="O417" s="211">
        <f t="shared" si="13"/>
        <v>0.2</v>
      </c>
      <c r="P417" s="610">
        <v>683.31434000000013</v>
      </c>
      <c r="Q417" s="141">
        <f t="shared" si="12"/>
        <v>136.66286800000003</v>
      </c>
    </row>
    <row r="418" spans="1:17" ht="42">
      <c r="A418" s="136" t="s">
        <v>2371</v>
      </c>
      <c r="B418" s="137" t="s">
        <v>2374</v>
      </c>
      <c r="C418" s="138" t="s">
        <v>1241</v>
      </c>
      <c r="D418" s="138" t="s">
        <v>1235</v>
      </c>
      <c r="E418" s="136" t="s">
        <v>1571</v>
      </c>
      <c r="F418" s="419">
        <v>43100</v>
      </c>
      <c r="G418" s="140">
        <v>2333.9051800000002</v>
      </c>
      <c r="H418" s="140">
        <v>26</v>
      </c>
      <c r="I418" s="140">
        <v>15.48925</v>
      </c>
      <c r="J418" s="140">
        <v>64.704819999999998</v>
      </c>
      <c r="K418" s="140">
        <v>872.42525000000001</v>
      </c>
      <c r="L418" s="140">
        <v>970.86539000000005</v>
      </c>
      <c r="M418" s="143" t="s">
        <v>189</v>
      </c>
      <c r="N418" s="143" t="s">
        <v>189</v>
      </c>
      <c r="P418" s="608">
        <v>872.42525000000001</v>
      </c>
      <c r="Q418" s="141">
        <f t="shared" ref="Q418:Q481" si="14">O418*P418</f>
        <v>0</v>
      </c>
    </row>
    <row r="419" spans="1:17" ht="31.5">
      <c r="A419" s="138" t="s">
        <v>2373</v>
      </c>
      <c r="B419" s="421" t="s">
        <v>2376</v>
      </c>
      <c r="C419" s="136" t="s">
        <v>708</v>
      </c>
      <c r="D419" s="136" t="s">
        <v>705</v>
      </c>
      <c r="E419" s="138" t="s">
        <v>1571</v>
      </c>
      <c r="F419" s="420">
        <v>43100</v>
      </c>
      <c r="G419" s="141">
        <v>2320.4204099999997</v>
      </c>
      <c r="H419" s="141">
        <v>24</v>
      </c>
      <c r="I419" s="141">
        <v>50.196680000000001</v>
      </c>
      <c r="J419" s="141">
        <v>287.22547000000003</v>
      </c>
      <c r="K419" s="141">
        <v>927.60023000000001</v>
      </c>
      <c r="L419" s="141">
        <v>1361.35628</v>
      </c>
      <c r="M419" s="141">
        <v>9.9</v>
      </c>
      <c r="N419" s="141">
        <v>3.3</v>
      </c>
      <c r="O419" s="211">
        <f t="shared" si="13"/>
        <v>0.75000000000000011</v>
      </c>
      <c r="P419" s="610">
        <v>927.60023000000001</v>
      </c>
      <c r="Q419" s="141">
        <f t="shared" si="14"/>
        <v>695.70017250000012</v>
      </c>
    </row>
    <row r="420" spans="1:17">
      <c r="A420" s="136" t="s">
        <v>2375</v>
      </c>
      <c r="B420" s="137" t="s">
        <v>2378</v>
      </c>
      <c r="C420" s="138" t="s">
        <v>1467</v>
      </c>
      <c r="D420" s="138" t="s">
        <v>1461</v>
      </c>
      <c r="E420" s="136" t="s">
        <v>1571</v>
      </c>
      <c r="F420" s="419">
        <v>43100</v>
      </c>
      <c r="G420" s="140">
        <v>2317.5743899999998</v>
      </c>
      <c r="H420" s="140">
        <v>15</v>
      </c>
      <c r="I420" s="140">
        <v>25.373669999999997</v>
      </c>
      <c r="J420" s="140">
        <v>70.785289999999989</v>
      </c>
      <c r="K420" s="140">
        <v>529.79981900000007</v>
      </c>
      <c r="L420" s="140">
        <v>669.421649</v>
      </c>
      <c r="M420" s="140">
        <v>2</v>
      </c>
      <c r="N420" s="140">
        <v>16</v>
      </c>
      <c r="O420" s="211">
        <f t="shared" si="13"/>
        <v>0.1111111111111111</v>
      </c>
      <c r="P420" s="608">
        <v>529.79981900000007</v>
      </c>
      <c r="Q420" s="141">
        <f t="shared" si="14"/>
        <v>58.866646555555562</v>
      </c>
    </row>
    <row r="421" spans="1:17" ht="42">
      <c r="A421" s="138" t="s">
        <v>2377</v>
      </c>
      <c r="B421" s="135" t="s">
        <v>2380</v>
      </c>
      <c r="C421" s="136" t="s">
        <v>996</v>
      </c>
      <c r="D421" s="136" t="s">
        <v>975</v>
      </c>
      <c r="E421" s="138" t="s">
        <v>1571</v>
      </c>
      <c r="F421" s="420">
        <v>43100</v>
      </c>
      <c r="G421" s="141">
        <v>2316.1366699999999</v>
      </c>
      <c r="H421" s="141">
        <v>8</v>
      </c>
      <c r="I421" s="141">
        <v>9.9480400000000007</v>
      </c>
      <c r="J421" s="141">
        <v>41.864659999999994</v>
      </c>
      <c r="K421" s="141">
        <v>407.62543000000005</v>
      </c>
      <c r="L421" s="141">
        <v>482.58713</v>
      </c>
      <c r="M421" s="142" t="s">
        <v>189</v>
      </c>
      <c r="N421" s="142" t="s">
        <v>189</v>
      </c>
      <c r="P421" s="610">
        <v>407.62543000000005</v>
      </c>
      <c r="Q421" s="141">
        <f t="shared" si="14"/>
        <v>0</v>
      </c>
    </row>
    <row r="422" spans="1:17" ht="21">
      <c r="A422" s="136" t="s">
        <v>2379</v>
      </c>
      <c r="B422" s="137" t="s">
        <v>2382</v>
      </c>
      <c r="C422" s="138" t="s">
        <v>980</v>
      </c>
      <c r="D422" s="138" t="s">
        <v>975</v>
      </c>
      <c r="E422" s="136" t="s">
        <v>1571</v>
      </c>
      <c r="F422" s="419">
        <v>42735</v>
      </c>
      <c r="G422" s="140">
        <v>2311.4473699999999</v>
      </c>
      <c r="H422" s="140">
        <v>9</v>
      </c>
      <c r="I422" s="143" t="s">
        <v>189</v>
      </c>
      <c r="J422" s="140">
        <v>42.314810000000008</v>
      </c>
      <c r="K422" s="140">
        <v>266.20616899999999</v>
      </c>
      <c r="L422" s="140">
        <v>418.26768900000002</v>
      </c>
      <c r="M422" s="143" t="s">
        <v>189</v>
      </c>
      <c r="N422" s="143" t="s">
        <v>189</v>
      </c>
      <c r="P422" s="608">
        <v>266.20616899999999</v>
      </c>
      <c r="Q422" s="141">
        <f t="shared" si="14"/>
        <v>0</v>
      </c>
    </row>
    <row r="423" spans="1:17" ht="42">
      <c r="A423" s="138" t="s">
        <v>2381</v>
      </c>
      <c r="B423" s="135" t="s">
        <v>2384</v>
      </c>
      <c r="C423" s="136" t="s">
        <v>1037</v>
      </c>
      <c r="D423" s="136" t="s">
        <v>971</v>
      </c>
      <c r="E423" s="138" t="s">
        <v>1571</v>
      </c>
      <c r="F423" s="420">
        <v>43100</v>
      </c>
      <c r="G423" s="141">
        <v>2308.1197000000002</v>
      </c>
      <c r="H423" s="141">
        <v>24</v>
      </c>
      <c r="I423" s="141">
        <v>5.4257299999999997</v>
      </c>
      <c r="J423" s="141">
        <v>37.934890000000003</v>
      </c>
      <c r="K423" s="141">
        <v>838.18173000000002</v>
      </c>
      <c r="L423" s="141">
        <v>912.69705900000008</v>
      </c>
      <c r="M423" s="142" t="s">
        <v>189</v>
      </c>
      <c r="N423" s="142" t="s">
        <v>189</v>
      </c>
      <c r="P423" s="610">
        <v>838.18173000000002</v>
      </c>
      <c r="Q423" s="141">
        <f t="shared" si="14"/>
        <v>0</v>
      </c>
    </row>
    <row r="424" spans="1:17" ht="31.5">
      <c r="A424" s="136" t="s">
        <v>2383</v>
      </c>
      <c r="B424" s="137" t="s">
        <v>2386</v>
      </c>
      <c r="C424" s="138" t="s">
        <v>683</v>
      </c>
      <c r="D424" s="138" t="s">
        <v>681</v>
      </c>
      <c r="E424" s="136" t="s">
        <v>1571</v>
      </c>
      <c r="F424" s="419">
        <v>43100</v>
      </c>
      <c r="G424" s="140">
        <v>2282.3509899999999</v>
      </c>
      <c r="H424" s="140">
        <v>20</v>
      </c>
      <c r="I424" s="140">
        <v>0.6182700000000001</v>
      </c>
      <c r="J424" s="140">
        <v>35.650559999999999</v>
      </c>
      <c r="K424" s="140">
        <v>644.11980000000005</v>
      </c>
      <c r="L424" s="140">
        <v>699.44231000000002</v>
      </c>
      <c r="M424" s="143" t="s">
        <v>189</v>
      </c>
      <c r="N424" s="143" t="s">
        <v>189</v>
      </c>
      <c r="P424" s="608">
        <v>644.11980000000005</v>
      </c>
      <c r="Q424" s="141">
        <f t="shared" si="14"/>
        <v>0</v>
      </c>
    </row>
    <row r="425" spans="1:17">
      <c r="A425" s="138" t="s">
        <v>2385</v>
      </c>
      <c r="B425" s="135" t="s">
        <v>2388</v>
      </c>
      <c r="C425" s="136" t="s">
        <v>1551</v>
      </c>
      <c r="D425" s="136" t="s">
        <v>1279</v>
      </c>
      <c r="E425" s="138" t="s">
        <v>1571</v>
      </c>
      <c r="F425" s="420">
        <v>43100</v>
      </c>
      <c r="G425" s="141">
        <v>2279.1521000000002</v>
      </c>
      <c r="H425" s="141">
        <v>18</v>
      </c>
      <c r="I425" s="141">
        <v>11.811140000000002</v>
      </c>
      <c r="J425" s="141">
        <v>30.371510000000001</v>
      </c>
      <c r="K425" s="141">
        <v>744.75407999999993</v>
      </c>
      <c r="L425" s="141">
        <v>868.17490000000009</v>
      </c>
      <c r="M425" s="142" t="s">
        <v>189</v>
      </c>
      <c r="N425" s="142" t="s">
        <v>189</v>
      </c>
      <c r="P425" s="610">
        <v>744.75407999999993</v>
      </c>
      <c r="Q425" s="141">
        <f t="shared" si="14"/>
        <v>0</v>
      </c>
    </row>
    <row r="426" spans="1:17" ht="31.5">
      <c r="A426" s="136" t="s">
        <v>2387</v>
      </c>
      <c r="B426" s="137" t="s">
        <v>2390</v>
      </c>
      <c r="C426" s="138" t="s">
        <v>1391</v>
      </c>
      <c r="D426" s="138" t="s">
        <v>1797</v>
      </c>
      <c r="E426" s="136" t="s">
        <v>1571</v>
      </c>
      <c r="F426" s="419">
        <v>43100</v>
      </c>
      <c r="G426" s="140">
        <v>2278.3774800000001</v>
      </c>
      <c r="H426" s="140">
        <v>14</v>
      </c>
      <c r="I426" s="140">
        <v>59.689</v>
      </c>
      <c r="J426" s="140">
        <v>290.95747000000006</v>
      </c>
      <c r="K426" s="140">
        <v>351.36059000000006</v>
      </c>
      <c r="L426" s="140">
        <v>946.52971000000002</v>
      </c>
      <c r="M426" s="143" t="s">
        <v>189</v>
      </c>
      <c r="N426" s="143" t="s">
        <v>189</v>
      </c>
      <c r="P426" s="608">
        <v>351.36059000000006</v>
      </c>
      <c r="Q426" s="141">
        <f t="shared" si="14"/>
        <v>0</v>
      </c>
    </row>
    <row r="427" spans="1:17" ht="31.5">
      <c r="A427" s="138" t="s">
        <v>2389</v>
      </c>
      <c r="B427" s="135" t="s">
        <v>2392</v>
      </c>
      <c r="C427" s="136" t="s">
        <v>1009</v>
      </c>
      <c r="D427" s="136" t="s">
        <v>975</v>
      </c>
      <c r="E427" s="138" t="s">
        <v>1571</v>
      </c>
      <c r="F427" s="420">
        <v>43100</v>
      </c>
      <c r="G427" s="141">
        <v>2276.5159399999998</v>
      </c>
      <c r="H427" s="141">
        <v>18</v>
      </c>
      <c r="I427" s="141"/>
      <c r="J427" s="141">
        <v>10.179680000000001</v>
      </c>
      <c r="K427" s="141">
        <v>701.89300000000003</v>
      </c>
      <c r="L427" s="141">
        <v>833.2187899999999</v>
      </c>
      <c r="M427" s="142" t="s">
        <v>189</v>
      </c>
      <c r="N427" s="142" t="s">
        <v>189</v>
      </c>
      <c r="P427" s="610">
        <v>701.89300000000003</v>
      </c>
      <c r="Q427" s="141">
        <f t="shared" si="14"/>
        <v>0</v>
      </c>
    </row>
    <row r="428" spans="1:17" ht="21">
      <c r="A428" s="136" t="s">
        <v>2391</v>
      </c>
      <c r="B428" s="137" t="s">
        <v>2394</v>
      </c>
      <c r="C428" s="138" t="s">
        <v>740</v>
      </c>
      <c r="D428" s="138" t="s">
        <v>741</v>
      </c>
      <c r="E428" s="136" t="s">
        <v>1571</v>
      </c>
      <c r="F428" s="419">
        <v>43100</v>
      </c>
      <c r="G428" s="140">
        <v>2259.1637000000001</v>
      </c>
      <c r="H428" s="140">
        <v>24</v>
      </c>
      <c r="I428" s="140"/>
      <c r="J428" s="140">
        <v>-19.554669999999998</v>
      </c>
      <c r="K428" s="140">
        <v>851.57411000000002</v>
      </c>
      <c r="L428" s="140">
        <v>915.61148900000001</v>
      </c>
      <c r="M428" s="140">
        <v>2</v>
      </c>
      <c r="N428" s="140">
        <v>15</v>
      </c>
      <c r="O428" s="211">
        <f t="shared" si="13"/>
        <v>0.11764705882352941</v>
      </c>
      <c r="P428" s="608">
        <v>851.57411000000002</v>
      </c>
      <c r="Q428" s="141">
        <f t="shared" si="14"/>
        <v>100.18518941176471</v>
      </c>
    </row>
    <row r="429" spans="1:17">
      <c r="A429" s="138" t="s">
        <v>2393</v>
      </c>
      <c r="B429" s="135" t="s">
        <v>2396</v>
      </c>
      <c r="C429" s="136" t="s">
        <v>864</v>
      </c>
      <c r="D429" s="136" t="s">
        <v>811</v>
      </c>
      <c r="E429" s="138" t="s">
        <v>1571</v>
      </c>
      <c r="F429" s="420">
        <v>43100</v>
      </c>
      <c r="G429" s="141">
        <v>2234.5174299999999</v>
      </c>
      <c r="H429" s="141">
        <v>15</v>
      </c>
      <c r="I429" s="141">
        <v>42.939840000000004</v>
      </c>
      <c r="J429" s="141">
        <v>138.22618</v>
      </c>
      <c r="K429" s="141">
        <v>697.67806000000007</v>
      </c>
      <c r="L429" s="141">
        <v>906.04995000000008</v>
      </c>
      <c r="M429" s="142" t="s">
        <v>189</v>
      </c>
      <c r="N429" s="142" t="s">
        <v>189</v>
      </c>
      <c r="P429" s="610">
        <v>697.67806000000007</v>
      </c>
      <c r="Q429" s="141">
        <f t="shared" si="14"/>
        <v>0</v>
      </c>
    </row>
    <row r="430" spans="1:17" ht="31.5">
      <c r="A430" s="136" t="s">
        <v>2395</v>
      </c>
      <c r="B430" s="137" t="s">
        <v>2398</v>
      </c>
      <c r="C430" s="138" t="s">
        <v>1396</v>
      </c>
      <c r="D430" s="138" t="s">
        <v>811</v>
      </c>
      <c r="E430" s="136" t="s">
        <v>1571</v>
      </c>
      <c r="F430" s="419">
        <v>43100</v>
      </c>
      <c r="G430" s="140">
        <v>2208.23614</v>
      </c>
      <c r="H430" s="140">
        <v>1</v>
      </c>
      <c r="I430" s="143" t="s">
        <v>189</v>
      </c>
      <c r="J430" s="140">
        <v>5.3286000000000007</v>
      </c>
      <c r="K430" s="140">
        <v>95.786150000000006</v>
      </c>
      <c r="L430" s="140">
        <v>107.44399</v>
      </c>
      <c r="M430" s="143" t="s">
        <v>189</v>
      </c>
      <c r="N430" s="143" t="s">
        <v>189</v>
      </c>
      <c r="P430" s="608">
        <v>95.786150000000006</v>
      </c>
      <c r="Q430" s="141">
        <f t="shared" si="14"/>
        <v>0</v>
      </c>
    </row>
    <row r="431" spans="1:17">
      <c r="A431" s="138" t="s">
        <v>2397</v>
      </c>
      <c r="B431" s="135" t="s">
        <v>2400</v>
      </c>
      <c r="C431" s="136" t="s">
        <v>1163</v>
      </c>
      <c r="D431" s="136" t="s">
        <v>1156</v>
      </c>
      <c r="E431" s="138" t="s">
        <v>1571</v>
      </c>
      <c r="F431" s="420">
        <v>43100</v>
      </c>
      <c r="G431" s="141">
        <v>2189.5385900000001</v>
      </c>
      <c r="H431" s="141">
        <v>12</v>
      </c>
      <c r="I431" s="141">
        <v>68.936779999999999</v>
      </c>
      <c r="J431" s="141">
        <v>229.41996</v>
      </c>
      <c r="K431" s="141">
        <v>622.00004000000001</v>
      </c>
      <c r="L431" s="141">
        <v>1138.0123000000001</v>
      </c>
      <c r="M431" s="141">
        <v>4</v>
      </c>
      <c r="N431" s="141">
        <v>2</v>
      </c>
      <c r="O431" s="211">
        <f t="shared" si="13"/>
        <v>0.66666666666666663</v>
      </c>
      <c r="P431" s="610">
        <v>622.00004000000001</v>
      </c>
      <c r="Q431" s="141">
        <f t="shared" si="14"/>
        <v>414.66669333333334</v>
      </c>
    </row>
    <row r="432" spans="1:17" ht="31.5">
      <c r="A432" s="136" t="s">
        <v>2399</v>
      </c>
      <c r="B432" s="137" t="s">
        <v>2402</v>
      </c>
      <c r="C432" s="138" t="s">
        <v>1509</v>
      </c>
      <c r="D432" s="138" t="s">
        <v>1501</v>
      </c>
      <c r="E432" s="136" t="s">
        <v>1571</v>
      </c>
      <c r="F432" s="419">
        <v>43100</v>
      </c>
      <c r="G432" s="140">
        <v>2179.2036800000001</v>
      </c>
      <c r="H432" s="140">
        <v>22</v>
      </c>
      <c r="I432" s="140">
        <v>5.2328200000000011</v>
      </c>
      <c r="J432" s="140">
        <v>34.4407</v>
      </c>
      <c r="K432" s="140">
        <v>851.51137000000006</v>
      </c>
      <c r="L432" s="140">
        <v>1046.81764</v>
      </c>
      <c r="M432" s="143" t="s">
        <v>189</v>
      </c>
      <c r="N432" s="143" t="s">
        <v>189</v>
      </c>
      <c r="P432" s="608">
        <v>851.51137000000006</v>
      </c>
      <c r="Q432" s="141">
        <f t="shared" si="14"/>
        <v>0</v>
      </c>
    </row>
    <row r="433" spans="1:17" ht="21">
      <c r="A433" s="138" t="s">
        <v>2401</v>
      </c>
      <c r="B433" s="135" t="s">
        <v>2404</v>
      </c>
      <c r="C433" s="136" t="s">
        <v>1242</v>
      </c>
      <c r="D433" s="136" t="s">
        <v>1235</v>
      </c>
      <c r="E433" s="138" t="s">
        <v>1571</v>
      </c>
      <c r="F433" s="420">
        <v>43100</v>
      </c>
      <c r="G433" s="141">
        <v>2177.3915000000002</v>
      </c>
      <c r="H433" s="141">
        <v>12</v>
      </c>
      <c r="I433" s="141">
        <v>19.5075</v>
      </c>
      <c r="J433" s="141">
        <v>51.970359999999999</v>
      </c>
      <c r="K433" s="141">
        <v>597.78926000000001</v>
      </c>
      <c r="L433" s="141">
        <v>746.85814000000005</v>
      </c>
      <c r="M433" s="142" t="s">
        <v>189</v>
      </c>
      <c r="N433" s="142" t="s">
        <v>189</v>
      </c>
      <c r="P433" s="610">
        <v>597.78926000000001</v>
      </c>
      <c r="Q433" s="141">
        <f t="shared" si="14"/>
        <v>0</v>
      </c>
    </row>
    <row r="434" spans="1:17" ht="31.5">
      <c r="A434" s="136" t="s">
        <v>2403</v>
      </c>
      <c r="B434" s="137" t="s">
        <v>2406</v>
      </c>
      <c r="C434" s="138" t="s">
        <v>1378</v>
      </c>
      <c r="D434" s="138" t="s">
        <v>1800</v>
      </c>
      <c r="E434" s="136" t="s">
        <v>1571</v>
      </c>
      <c r="F434" s="419">
        <v>43100</v>
      </c>
      <c r="G434" s="140">
        <v>2173.96344</v>
      </c>
      <c r="H434" s="140">
        <v>21</v>
      </c>
      <c r="I434" s="143" t="s">
        <v>189</v>
      </c>
      <c r="J434" s="140">
        <v>-10.75855</v>
      </c>
      <c r="K434" s="140">
        <v>838.52930000000003</v>
      </c>
      <c r="L434" s="140">
        <v>984.43910000000005</v>
      </c>
      <c r="M434" s="140">
        <v>7</v>
      </c>
      <c r="N434" s="140">
        <v>9</v>
      </c>
      <c r="O434" s="211">
        <f t="shared" si="13"/>
        <v>0.4375</v>
      </c>
      <c r="P434" s="608">
        <v>838.52930000000003</v>
      </c>
      <c r="Q434" s="141">
        <f t="shared" si="14"/>
        <v>366.85656875000001</v>
      </c>
    </row>
    <row r="435" spans="1:17">
      <c r="A435" s="138" t="s">
        <v>2405</v>
      </c>
      <c r="B435" s="135" t="s">
        <v>2408</v>
      </c>
      <c r="C435" s="136" t="s">
        <v>1398</v>
      </c>
      <c r="D435" s="136" t="s">
        <v>1399</v>
      </c>
      <c r="E435" s="138" t="s">
        <v>1571</v>
      </c>
      <c r="F435" s="420">
        <v>43100</v>
      </c>
      <c r="G435" s="141">
        <v>2154.3092800000004</v>
      </c>
      <c r="H435" s="141">
        <v>17</v>
      </c>
      <c r="I435" s="141">
        <v>9.8326300000000018</v>
      </c>
      <c r="J435" s="141">
        <v>41.378990000000002</v>
      </c>
      <c r="K435" s="141">
        <v>423.74088</v>
      </c>
      <c r="L435" s="141">
        <v>1005.1677099999999</v>
      </c>
      <c r="M435" s="142" t="s">
        <v>189</v>
      </c>
      <c r="N435" s="142" t="s">
        <v>189</v>
      </c>
      <c r="P435" s="610">
        <v>423.74088</v>
      </c>
      <c r="Q435" s="141">
        <f t="shared" si="14"/>
        <v>0</v>
      </c>
    </row>
    <row r="436" spans="1:17" ht="52.5">
      <c r="A436" s="136" t="s">
        <v>2407</v>
      </c>
      <c r="B436" s="137" t="s">
        <v>2410</v>
      </c>
      <c r="C436" s="138" t="s">
        <v>1502</v>
      </c>
      <c r="D436" s="138" t="s">
        <v>1501</v>
      </c>
      <c r="E436" s="136" t="s">
        <v>1571</v>
      </c>
      <c r="F436" s="419">
        <v>43100</v>
      </c>
      <c r="G436" s="140">
        <v>2148.9242000000004</v>
      </c>
      <c r="H436" s="140">
        <v>12</v>
      </c>
      <c r="I436" s="140">
        <v>13.372790000000002</v>
      </c>
      <c r="J436" s="140">
        <v>55.706219999999995</v>
      </c>
      <c r="K436" s="140">
        <v>595.7544200000001</v>
      </c>
      <c r="L436" s="140">
        <v>697.04317999999989</v>
      </c>
      <c r="M436" s="143" t="s">
        <v>189</v>
      </c>
      <c r="N436" s="143" t="s">
        <v>189</v>
      </c>
      <c r="P436" s="608">
        <v>595.7544200000001</v>
      </c>
      <c r="Q436" s="141">
        <f t="shared" si="14"/>
        <v>0</v>
      </c>
    </row>
    <row r="437" spans="1:17" ht="42">
      <c r="A437" s="138" t="s">
        <v>2409</v>
      </c>
      <c r="B437" s="135" t="s">
        <v>2412</v>
      </c>
      <c r="C437" s="136" t="s">
        <v>1259</v>
      </c>
      <c r="D437" s="136" t="s">
        <v>1251</v>
      </c>
      <c r="E437" s="138" t="s">
        <v>1571</v>
      </c>
      <c r="F437" s="420">
        <v>43100</v>
      </c>
      <c r="G437" s="141">
        <v>2134.07971</v>
      </c>
      <c r="H437" s="141">
        <v>15</v>
      </c>
      <c r="I437" s="141">
        <v>26.483529999999998</v>
      </c>
      <c r="J437" s="141">
        <v>208.30279000000002</v>
      </c>
      <c r="K437" s="141">
        <v>517.43892000000005</v>
      </c>
      <c r="L437" s="141">
        <v>882.00774000000001</v>
      </c>
      <c r="M437" s="142" t="s">
        <v>189</v>
      </c>
      <c r="N437" s="142" t="s">
        <v>189</v>
      </c>
      <c r="P437" s="610">
        <v>517.43892000000005</v>
      </c>
      <c r="Q437" s="141">
        <f t="shared" si="14"/>
        <v>0</v>
      </c>
    </row>
    <row r="438" spans="1:17" ht="31.5">
      <c r="A438" s="136" t="s">
        <v>2411</v>
      </c>
      <c r="B438" s="137" t="s">
        <v>2414</v>
      </c>
      <c r="C438" s="138" t="s">
        <v>1116</v>
      </c>
      <c r="D438" s="138" t="s">
        <v>1112</v>
      </c>
      <c r="E438" s="136" t="s">
        <v>1571</v>
      </c>
      <c r="F438" s="419">
        <v>43100</v>
      </c>
      <c r="G438" s="140">
        <v>2127.5162990000003</v>
      </c>
      <c r="H438" s="140">
        <v>7</v>
      </c>
      <c r="I438" s="140">
        <v>18.159940000000002</v>
      </c>
      <c r="J438" s="140">
        <v>69.618539999999996</v>
      </c>
      <c r="K438" s="140">
        <v>203.14221000000003</v>
      </c>
      <c r="L438" s="140">
        <v>295.19882000000001</v>
      </c>
      <c r="M438" s="140">
        <v>4</v>
      </c>
      <c r="N438" s="140">
        <v>11</v>
      </c>
      <c r="O438" s="211">
        <f t="shared" si="13"/>
        <v>0.26666666666666666</v>
      </c>
      <c r="P438" s="608">
        <v>203.14221000000003</v>
      </c>
      <c r="Q438" s="141">
        <f t="shared" si="14"/>
        <v>54.171256000000007</v>
      </c>
    </row>
    <row r="439" spans="1:17" ht="21">
      <c r="A439" s="138" t="s">
        <v>2413</v>
      </c>
      <c r="B439" s="135" t="s">
        <v>2416</v>
      </c>
      <c r="C439" s="136" t="s">
        <v>1438</v>
      </c>
      <c r="D439" s="136" t="s">
        <v>1429</v>
      </c>
      <c r="E439" s="138" t="s">
        <v>1571</v>
      </c>
      <c r="F439" s="420">
        <v>43100</v>
      </c>
      <c r="G439" s="141">
        <v>2090.3444100000002</v>
      </c>
      <c r="H439" s="141">
        <v>15</v>
      </c>
      <c r="I439" s="141">
        <v>41.308370000000004</v>
      </c>
      <c r="J439" s="141">
        <v>220.73073000000002</v>
      </c>
      <c r="K439" s="141">
        <v>595.17961000000003</v>
      </c>
      <c r="L439" s="141">
        <v>1122.72695</v>
      </c>
      <c r="M439" s="142" t="s">
        <v>189</v>
      </c>
      <c r="N439" s="142" t="s">
        <v>189</v>
      </c>
      <c r="P439" s="610">
        <v>595.17961000000003</v>
      </c>
      <c r="Q439" s="141">
        <f t="shared" si="14"/>
        <v>0</v>
      </c>
    </row>
    <row r="440" spans="1:17" ht="52.5">
      <c r="A440" s="136" t="s">
        <v>2415</v>
      </c>
      <c r="B440" s="137" t="s">
        <v>2418</v>
      </c>
      <c r="C440" s="138" t="s">
        <v>1039</v>
      </c>
      <c r="D440" s="138" t="s">
        <v>1625</v>
      </c>
      <c r="E440" s="136" t="s">
        <v>1571</v>
      </c>
      <c r="F440" s="419">
        <v>43100</v>
      </c>
      <c r="G440" s="140">
        <v>2079.9752600000002</v>
      </c>
      <c r="H440" s="140">
        <v>7</v>
      </c>
      <c r="I440" s="140">
        <v>5.1686600000000009</v>
      </c>
      <c r="J440" s="140">
        <v>12.48157</v>
      </c>
      <c r="K440" s="140">
        <v>255.26174000000003</v>
      </c>
      <c r="L440" s="140">
        <v>276.95797000000005</v>
      </c>
      <c r="M440" s="140">
        <v>4</v>
      </c>
      <c r="N440" s="140">
        <v>6</v>
      </c>
      <c r="O440" s="211">
        <f t="shared" si="13"/>
        <v>0.4</v>
      </c>
      <c r="P440" s="608">
        <v>255.26174000000003</v>
      </c>
      <c r="Q440" s="141">
        <f t="shared" si="14"/>
        <v>102.10469600000002</v>
      </c>
    </row>
    <row r="441" spans="1:17" ht="21">
      <c r="A441" s="138" t="s">
        <v>2417</v>
      </c>
      <c r="B441" s="135" t="s">
        <v>2420</v>
      </c>
      <c r="C441" s="136" t="s">
        <v>1003</v>
      </c>
      <c r="D441" s="136" t="s">
        <v>975</v>
      </c>
      <c r="E441" s="138" t="s">
        <v>1571</v>
      </c>
      <c r="F441" s="420">
        <v>42735</v>
      </c>
      <c r="G441" s="141">
        <v>2071.8710099999998</v>
      </c>
      <c r="H441" s="141">
        <v>53</v>
      </c>
      <c r="I441" s="141">
        <v>4.0718500000000004</v>
      </c>
      <c r="J441" s="141">
        <v>13.17516</v>
      </c>
      <c r="K441" s="141">
        <v>1465.5280700000001</v>
      </c>
      <c r="L441" s="141">
        <v>1534.0411400000003</v>
      </c>
      <c r="M441" s="142" t="s">
        <v>189</v>
      </c>
      <c r="N441" s="142" t="s">
        <v>189</v>
      </c>
      <c r="P441" s="610">
        <v>1465.5280700000001</v>
      </c>
      <c r="Q441" s="141">
        <f t="shared" si="14"/>
        <v>0</v>
      </c>
    </row>
    <row r="442" spans="1:17" ht="21">
      <c r="A442" s="136" t="s">
        <v>2419</v>
      </c>
      <c r="B442" s="137" t="s">
        <v>2422</v>
      </c>
      <c r="C442" s="138" t="s">
        <v>666</v>
      </c>
      <c r="D442" s="138" t="s">
        <v>1622</v>
      </c>
      <c r="E442" s="136" t="s">
        <v>1571</v>
      </c>
      <c r="F442" s="419">
        <v>43100</v>
      </c>
      <c r="G442" s="140">
        <v>2070.3393800000003</v>
      </c>
      <c r="H442" s="140">
        <v>14</v>
      </c>
      <c r="I442" s="143" t="s">
        <v>189</v>
      </c>
      <c r="J442" s="140">
        <v>32.59301</v>
      </c>
      <c r="K442" s="140">
        <v>488.74023000000005</v>
      </c>
      <c r="L442" s="140">
        <v>559.53325000000007</v>
      </c>
      <c r="M442" s="143" t="s">
        <v>189</v>
      </c>
      <c r="N442" s="143" t="s">
        <v>189</v>
      </c>
      <c r="P442" s="608">
        <v>488.74023000000005</v>
      </c>
      <c r="Q442" s="141">
        <f t="shared" si="14"/>
        <v>0</v>
      </c>
    </row>
    <row r="443" spans="1:17" ht="42">
      <c r="A443" s="138" t="s">
        <v>2421</v>
      </c>
      <c r="B443" s="135" t="s">
        <v>2424</v>
      </c>
      <c r="C443" s="136" t="s">
        <v>896</v>
      </c>
      <c r="D443" s="136" t="s">
        <v>188</v>
      </c>
      <c r="E443" s="138" t="s">
        <v>1571</v>
      </c>
      <c r="F443" s="420">
        <v>43100</v>
      </c>
      <c r="G443" s="141">
        <v>2066.2009899999998</v>
      </c>
      <c r="H443" s="141">
        <v>20</v>
      </c>
      <c r="I443" s="141">
        <v>3.9732500000000002</v>
      </c>
      <c r="J443" s="141">
        <v>12.58197</v>
      </c>
      <c r="K443" s="141">
        <v>863.19085000000007</v>
      </c>
      <c r="L443" s="141">
        <v>946.56374000000005</v>
      </c>
      <c r="M443" s="142" t="s">
        <v>189</v>
      </c>
      <c r="N443" s="142" t="s">
        <v>189</v>
      </c>
      <c r="P443" s="610">
        <v>863.19085000000007</v>
      </c>
      <c r="Q443" s="141">
        <f t="shared" si="14"/>
        <v>0</v>
      </c>
    </row>
    <row r="444" spans="1:17" ht="21">
      <c r="A444" s="136" t="s">
        <v>2423</v>
      </c>
      <c r="B444" s="137" t="s">
        <v>2426</v>
      </c>
      <c r="C444" s="138" t="s">
        <v>871</v>
      </c>
      <c r="D444" s="138" t="s">
        <v>811</v>
      </c>
      <c r="E444" s="136" t="s">
        <v>1571</v>
      </c>
      <c r="F444" s="419">
        <v>43100</v>
      </c>
      <c r="G444" s="140">
        <v>2057.0770000000002</v>
      </c>
      <c r="H444" s="140">
        <v>7</v>
      </c>
      <c r="I444" s="140">
        <v>78.043000000000006</v>
      </c>
      <c r="J444" s="140">
        <v>233.63</v>
      </c>
      <c r="K444" s="140">
        <v>207.726</v>
      </c>
      <c r="L444" s="140">
        <v>529.29999999999995</v>
      </c>
      <c r="M444" s="140">
        <v>4</v>
      </c>
      <c r="N444" s="140">
        <v>18</v>
      </c>
      <c r="O444" s="211">
        <f t="shared" si="13"/>
        <v>0.18181818181818182</v>
      </c>
      <c r="P444" s="608">
        <v>207.726</v>
      </c>
      <c r="Q444" s="141">
        <f t="shared" si="14"/>
        <v>37.768363636363638</v>
      </c>
    </row>
    <row r="445" spans="1:17" ht="31.5">
      <c r="A445" s="138" t="s">
        <v>2425</v>
      </c>
      <c r="B445" s="135" t="s">
        <v>2428</v>
      </c>
      <c r="C445" s="136" t="s">
        <v>615</v>
      </c>
      <c r="D445" s="136" t="s">
        <v>596</v>
      </c>
      <c r="E445" s="138" t="s">
        <v>1571</v>
      </c>
      <c r="F445" s="420">
        <v>43100</v>
      </c>
      <c r="G445" s="141">
        <v>2051.59969</v>
      </c>
      <c r="H445" s="141">
        <v>32</v>
      </c>
      <c r="I445" s="142" t="s">
        <v>189</v>
      </c>
      <c r="J445" s="141">
        <v>25.7332</v>
      </c>
      <c r="K445" s="141">
        <v>587.00864999999999</v>
      </c>
      <c r="L445" s="141">
        <v>613.89919999999995</v>
      </c>
      <c r="M445" s="141">
        <v>1</v>
      </c>
      <c r="N445" s="141">
        <v>16</v>
      </c>
      <c r="O445" s="211">
        <f t="shared" si="13"/>
        <v>5.8823529411764705E-2</v>
      </c>
      <c r="P445" s="610">
        <v>587.00864999999999</v>
      </c>
      <c r="Q445" s="141">
        <f t="shared" si="14"/>
        <v>34.529920588235292</v>
      </c>
    </row>
    <row r="446" spans="1:17" ht="42">
      <c r="A446" s="136" t="s">
        <v>2427</v>
      </c>
      <c r="B446" s="137" t="s">
        <v>2430</v>
      </c>
      <c r="C446" s="138" t="s">
        <v>1028</v>
      </c>
      <c r="D446" s="138" t="s">
        <v>1027</v>
      </c>
      <c r="E446" s="136" t="s">
        <v>1571</v>
      </c>
      <c r="F446" s="419">
        <v>43100</v>
      </c>
      <c r="G446" s="140">
        <v>2043.60348</v>
      </c>
      <c r="H446" s="140">
        <v>13</v>
      </c>
      <c r="I446" s="140">
        <v>6.90008</v>
      </c>
      <c r="J446" s="140">
        <v>45.37323</v>
      </c>
      <c r="K446" s="140">
        <v>838.75128999999993</v>
      </c>
      <c r="L446" s="140">
        <v>908.25628999999992</v>
      </c>
      <c r="M446" s="140">
        <v>2</v>
      </c>
      <c r="N446" s="140">
        <v>8</v>
      </c>
      <c r="O446" s="211">
        <f t="shared" si="13"/>
        <v>0.2</v>
      </c>
      <c r="P446" s="608">
        <v>838.75128999999993</v>
      </c>
      <c r="Q446" s="141">
        <f t="shared" si="14"/>
        <v>167.750258</v>
      </c>
    </row>
    <row r="447" spans="1:17" ht="21">
      <c r="A447" s="138" t="s">
        <v>2429</v>
      </c>
      <c r="B447" s="135" t="s">
        <v>2432</v>
      </c>
      <c r="C447" s="136" t="s">
        <v>1170</v>
      </c>
      <c r="D447" s="136" t="s">
        <v>1168</v>
      </c>
      <c r="E447" s="138" t="s">
        <v>1571</v>
      </c>
      <c r="F447" s="420">
        <v>43100</v>
      </c>
      <c r="G447" s="141">
        <v>2040.82781</v>
      </c>
      <c r="H447" s="141">
        <v>5</v>
      </c>
      <c r="I447" s="141">
        <v>41.214469999999999</v>
      </c>
      <c r="J447" s="141">
        <v>47.53293</v>
      </c>
      <c r="K447" s="141">
        <v>291.51704999999998</v>
      </c>
      <c r="L447" s="141">
        <v>407.55367000000001</v>
      </c>
      <c r="M447" s="142" t="s">
        <v>189</v>
      </c>
      <c r="N447" s="142" t="s">
        <v>189</v>
      </c>
      <c r="P447" s="610">
        <v>291.51704999999998</v>
      </c>
      <c r="Q447" s="141">
        <f t="shared" si="14"/>
        <v>0</v>
      </c>
    </row>
    <row r="448" spans="1:17" ht="42">
      <c r="A448" s="136" t="s">
        <v>2431</v>
      </c>
      <c r="B448" s="137" t="s">
        <v>2434</v>
      </c>
      <c r="C448" s="138" t="s">
        <v>1361</v>
      </c>
      <c r="D448" s="138" t="s">
        <v>1341</v>
      </c>
      <c r="E448" s="136" t="s">
        <v>1571</v>
      </c>
      <c r="F448" s="419">
        <v>43100</v>
      </c>
      <c r="G448" s="140">
        <v>2027.2256400000001</v>
      </c>
      <c r="H448" s="140">
        <v>9</v>
      </c>
      <c r="I448" s="140">
        <v>2.49762</v>
      </c>
      <c r="J448" s="140">
        <v>7.9091400000000007</v>
      </c>
      <c r="K448" s="140">
        <v>390.86091000000005</v>
      </c>
      <c r="L448" s="140">
        <v>466.44120000000004</v>
      </c>
      <c r="M448" s="143" t="s">
        <v>189</v>
      </c>
      <c r="N448" s="143" t="s">
        <v>189</v>
      </c>
      <c r="P448" s="608">
        <v>390.86091000000005</v>
      </c>
      <c r="Q448" s="141">
        <f t="shared" si="14"/>
        <v>0</v>
      </c>
    </row>
    <row r="449" spans="1:17" ht="31.5">
      <c r="A449" s="138" t="s">
        <v>2433</v>
      </c>
      <c r="B449" s="135" t="s">
        <v>2436</v>
      </c>
      <c r="C449" s="136" t="s">
        <v>884</v>
      </c>
      <c r="D449" s="136" t="s">
        <v>811</v>
      </c>
      <c r="E449" s="138" t="s">
        <v>1571</v>
      </c>
      <c r="F449" s="420">
        <v>43100</v>
      </c>
      <c r="G449" s="141">
        <v>2016.0628600000002</v>
      </c>
      <c r="H449" s="141">
        <v>17</v>
      </c>
      <c r="I449" s="141">
        <v>23.223099999999999</v>
      </c>
      <c r="J449" s="141">
        <v>73.539810000000003</v>
      </c>
      <c r="K449" s="141">
        <v>607.90562999999997</v>
      </c>
      <c r="L449" s="141">
        <v>725.65236000000016</v>
      </c>
      <c r="M449" s="142" t="s">
        <v>189</v>
      </c>
      <c r="N449" s="142" t="s">
        <v>189</v>
      </c>
      <c r="P449" s="610">
        <v>607.90562999999997</v>
      </c>
      <c r="Q449" s="141">
        <f t="shared" si="14"/>
        <v>0</v>
      </c>
    </row>
    <row r="450" spans="1:17" ht="21">
      <c r="A450" s="136" t="s">
        <v>2435</v>
      </c>
      <c r="B450" s="137" t="s">
        <v>2438</v>
      </c>
      <c r="C450" s="138" t="s">
        <v>1178</v>
      </c>
      <c r="D450" s="138" t="s">
        <v>1168</v>
      </c>
      <c r="E450" s="136" t="s">
        <v>1571</v>
      </c>
      <c r="F450" s="419">
        <v>42735</v>
      </c>
      <c r="G450" s="140">
        <v>2015.29645</v>
      </c>
      <c r="H450" s="140">
        <v>50</v>
      </c>
      <c r="I450" s="143" t="s">
        <v>189</v>
      </c>
      <c r="J450" s="140">
        <v>2.3476300000000001</v>
      </c>
      <c r="K450" s="140">
        <v>1336.74899</v>
      </c>
      <c r="L450" s="140">
        <v>1351.7280490000001</v>
      </c>
      <c r="M450" s="143" t="s">
        <v>189</v>
      </c>
      <c r="N450" s="143" t="s">
        <v>189</v>
      </c>
      <c r="P450" s="608">
        <v>1336.74899</v>
      </c>
      <c r="Q450" s="141">
        <f t="shared" si="14"/>
        <v>0</v>
      </c>
    </row>
    <row r="451" spans="1:17">
      <c r="A451" s="138" t="s">
        <v>2437</v>
      </c>
      <c r="B451" s="135" t="s">
        <v>2440</v>
      </c>
      <c r="C451" s="136" t="s">
        <v>1392</v>
      </c>
      <c r="D451" s="136" t="s">
        <v>1393</v>
      </c>
      <c r="E451" s="138" t="s">
        <v>1571</v>
      </c>
      <c r="F451" s="420">
        <v>43100</v>
      </c>
      <c r="G451" s="141">
        <v>2004.3501300000003</v>
      </c>
      <c r="H451" s="141">
        <v>8</v>
      </c>
      <c r="I451" s="142" t="s">
        <v>189</v>
      </c>
      <c r="J451" s="141">
        <v>2.2164600000000001</v>
      </c>
      <c r="K451" s="141">
        <v>452.67915999999997</v>
      </c>
      <c r="L451" s="141">
        <v>462.07693000000006</v>
      </c>
      <c r="M451" s="141">
        <v>3</v>
      </c>
      <c r="N451" s="141">
        <v>4</v>
      </c>
      <c r="O451" s="211">
        <f t="shared" si="13"/>
        <v>0.42857142857142855</v>
      </c>
      <c r="P451" s="610">
        <v>452.67915999999997</v>
      </c>
      <c r="Q451" s="141">
        <f t="shared" si="14"/>
        <v>194.00535428571425</v>
      </c>
    </row>
    <row r="452" spans="1:17" ht="21">
      <c r="A452" s="136" t="s">
        <v>2439</v>
      </c>
      <c r="B452" s="137" t="s">
        <v>2442</v>
      </c>
      <c r="C452" s="138" t="s">
        <v>752</v>
      </c>
      <c r="D452" s="138" t="s">
        <v>753</v>
      </c>
      <c r="E452" s="136" t="s">
        <v>1571</v>
      </c>
      <c r="F452" s="419">
        <v>43100</v>
      </c>
      <c r="G452" s="140">
        <v>1981.3035890000001</v>
      </c>
      <c r="H452" s="140">
        <v>27</v>
      </c>
      <c r="I452" s="140">
        <v>59.662950000000002</v>
      </c>
      <c r="J452" s="140">
        <v>193.86648</v>
      </c>
      <c r="K452" s="140">
        <v>926.20377999999994</v>
      </c>
      <c r="L452" s="140">
        <v>1223.6596800000002</v>
      </c>
      <c r="M452" s="143" t="s">
        <v>189</v>
      </c>
      <c r="N452" s="143" t="s">
        <v>189</v>
      </c>
      <c r="P452" s="608">
        <v>926.20377999999994</v>
      </c>
      <c r="Q452" s="141">
        <f t="shared" si="14"/>
        <v>0</v>
      </c>
    </row>
    <row r="453" spans="1:17" ht="31.5">
      <c r="A453" s="138" t="s">
        <v>2441</v>
      </c>
      <c r="B453" s="135" t="s">
        <v>2444</v>
      </c>
      <c r="C453" s="136" t="s">
        <v>1548</v>
      </c>
      <c r="D453" s="136" t="s">
        <v>1279</v>
      </c>
      <c r="E453" s="138" t="s">
        <v>1571</v>
      </c>
      <c r="F453" s="420">
        <v>43100</v>
      </c>
      <c r="G453" s="141">
        <v>1978.49398</v>
      </c>
      <c r="H453" s="141">
        <v>17</v>
      </c>
      <c r="I453" s="142" t="s">
        <v>189</v>
      </c>
      <c r="J453" s="141">
        <v>8.9623200000000001</v>
      </c>
      <c r="K453" s="141">
        <v>890.63909000000001</v>
      </c>
      <c r="L453" s="141">
        <v>942.21262899999999</v>
      </c>
      <c r="M453" s="141">
        <v>2</v>
      </c>
      <c r="N453" s="141">
        <v>8</v>
      </c>
      <c r="O453" s="211">
        <f t="shared" si="13"/>
        <v>0.2</v>
      </c>
      <c r="P453" s="610">
        <v>890.63909000000001</v>
      </c>
      <c r="Q453" s="141">
        <f t="shared" si="14"/>
        <v>178.12781800000002</v>
      </c>
    </row>
    <row r="454" spans="1:17" ht="42">
      <c r="A454" s="136" t="s">
        <v>2443</v>
      </c>
      <c r="B454" s="137" t="s">
        <v>2446</v>
      </c>
      <c r="C454" s="138" t="s">
        <v>1347</v>
      </c>
      <c r="D454" s="138" t="s">
        <v>1341</v>
      </c>
      <c r="E454" s="136" t="s">
        <v>1571</v>
      </c>
      <c r="F454" s="419">
        <v>43100</v>
      </c>
      <c r="G454" s="140">
        <v>1973.04223</v>
      </c>
      <c r="H454" s="140">
        <v>10</v>
      </c>
      <c r="I454" s="140">
        <v>38.097389999999997</v>
      </c>
      <c r="J454" s="140">
        <v>109.58383000000001</v>
      </c>
      <c r="K454" s="140">
        <v>394.21292000000005</v>
      </c>
      <c r="L454" s="140">
        <v>574.87776999999994</v>
      </c>
      <c r="M454" s="140">
        <v>5</v>
      </c>
      <c r="N454" s="140">
        <v>12</v>
      </c>
      <c r="O454" s="211">
        <f t="shared" si="13"/>
        <v>0.29411764705882354</v>
      </c>
      <c r="P454" s="608">
        <v>394.21292000000005</v>
      </c>
      <c r="Q454" s="141">
        <f t="shared" si="14"/>
        <v>115.94497647058826</v>
      </c>
    </row>
    <row r="455" spans="1:17" ht="21">
      <c r="A455" s="138" t="s">
        <v>2445</v>
      </c>
      <c r="B455" s="135" t="s">
        <v>2448</v>
      </c>
      <c r="C455" s="136" t="s">
        <v>1191</v>
      </c>
      <c r="D455" s="136" t="s">
        <v>1190</v>
      </c>
      <c r="E455" s="138" t="s">
        <v>1571</v>
      </c>
      <c r="F455" s="420">
        <v>43100</v>
      </c>
      <c r="G455" s="141">
        <v>1971.54304</v>
      </c>
      <c r="H455" s="141">
        <v>20</v>
      </c>
      <c r="I455" s="142" t="s">
        <v>189</v>
      </c>
      <c r="J455" s="141">
        <v>31.86279</v>
      </c>
      <c r="K455" s="141">
        <v>828.35401999999999</v>
      </c>
      <c r="L455" s="141">
        <v>917.90954000000011</v>
      </c>
      <c r="M455" s="142" t="s">
        <v>189</v>
      </c>
      <c r="N455" s="142" t="s">
        <v>189</v>
      </c>
      <c r="P455" s="610">
        <v>828.35401999999999</v>
      </c>
      <c r="Q455" s="141">
        <f t="shared" si="14"/>
        <v>0</v>
      </c>
    </row>
    <row r="456" spans="1:17">
      <c r="A456" s="136" t="s">
        <v>2447</v>
      </c>
      <c r="B456" s="137" t="s">
        <v>2450</v>
      </c>
      <c r="C456" s="138" t="s">
        <v>634</v>
      </c>
      <c r="D456" s="138" t="s">
        <v>596</v>
      </c>
      <c r="E456" s="136" t="s">
        <v>1571</v>
      </c>
      <c r="F456" s="419">
        <v>43100</v>
      </c>
      <c r="G456" s="140">
        <v>1953.5818700000002</v>
      </c>
      <c r="H456" s="140">
        <v>9</v>
      </c>
      <c r="I456" s="140">
        <v>4.1353990000000005</v>
      </c>
      <c r="J456" s="140">
        <v>13.65192</v>
      </c>
      <c r="K456" s="140">
        <v>306.86151000000001</v>
      </c>
      <c r="L456" s="140">
        <v>371.17554899999999</v>
      </c>
      <c r="M456" s="143" t="s">
        <v>189</v>
      </c>
      <c r="N456" s="143" t="s">
        <v>189</v>
      </c>
      <c r="P456" s="608">
        <v>306.86151000000001</v>
      </c>
      <c r="Q456" s="141">
        <f t="shared" si="14"/>
        <v>0</v>
      </c>
    </row>
    <row r="457" spans="1:17" ht="21">
      <c r="A457" s="138" t="s">
        <v>2449</v>
      </c>
      <c r="B457" s="135" t="s">
        <v>2452</v>
      </c>
      <c r="C457" s="136" t="s">
        <v>977</v>
      </c>
      <c r="D457" s="136" t="s">
        <v>975</v>
      </c>
      <c r="E457" s="138" t="s">
        <v>1571</v>
      </c>
      <c r="F457" s="420">
        <v>43100</v>
      </c>
      <c r="G457" s="141">
        <v>1941.2858900000001</v>
      </c>
      <c r="H457" s="141">
        <v>19</v>
      </c>
      <c r="I457" s="141">
        <v>6.8952400000000003</v>
      </c>
      <c r="J457" s="141">
        <v>21.834920000000004</v>
      </c>
      <c r="K457" s="141">
        <v>778.72973999999999</v>
      </c>
      <c r="L457" s="141">
        <v>972.09234000000015</v>
      </c>
      <c r="M457" s="142" t="s">
        <v>189</v>
      </c>
      <c r="N457" s="142" t="s">
        <v>189</v>
      </c>
      <c r="P457" s="610">
        <v>778.72973999999999</v>
      </c>
      <c r="Q457" s="141">
        <f t="shared" si="14"/>
        <v>0</v>
      </c>
    </row>
    <row r="458" spans="1:17" ht="42">
      <c r="A458" s="136" t="s">
        <v>2451</v>
      </c>
      <c r="B458" s="137" t="s">
        <v>2454</v>
      </c>
      <c r="C458" s="138" t="s">
        <v>1117</v>
      </c>
      <c r="D458" s="138" t="s">
        <v>1027</v>
      </c>
      <c r="E458" s="136" t="s">
        <v>1571</v>
      </c>
      <c r="F458" s="419">
        <v>43100</v>
      </c>
      <c r="G458" s="140">
        <v>1939.65752</v>
      </c>
      <c r="H458" s="140">
        <v>15</v>
      </c>
      <c r="I458" s="140">
        <v>4.9582500000000005</v>
      </c>
      <c r="J458" s="140">
        <v>11.47885</v>
      </c>
      <c r="K458" s="140">
        <v>561.47211000000004</v>
      </c>
      <c r="L458" s="140">
        <v>620.64748999999995</v>
      </c>
      <c r="M458" s="143" t="s">
        <v>189</v>
      </c>
      <c r="N458" s="143" t="s">
        <v>189</v>
      </c>
      <c r="P458" s="608">
        <v>561.47211000000004</v>
      </c>
      <c r="Q458" s="141">
        <f t="shared" si="14"/>
        <v>0</v>
      </c>
    </row>
    <row r="459" spans="1:17" ht="21">
      <c r="A459" s="138" t="s">
        <v>2453</v>
      </c>
      <c r="B459" s="135" t="s">
        <v>2456</v>
      </c>
      <c r="C459" s="136" t="s">
        <v>1173</v>
      </c>
      <c r="D459" s="136" t="s">
        <v>1168</v>
      </c>
      <c r="E459" s="138" t="s">
        <v>1571</v>
      </c>
      <c r="F459" s="420">
        <v>43100</v>
      </c>
      <c r="G459" s="141">
        <v>1918.2269900000001</v>
      </c>
      <c r="H459" s="141">
        <v>7</v>
      </c>
      <c r="I459" s="141">
        <v>9.2918000000000003</v>
      </c>
      <c r="J459" s="141">
        <v>0.64167000000000007</v>
      </c>
      <c r="K459" s="141">
        <v>347.96647000000002</v>
      </c>
      <c r="L459" s="141">
        <v>409.92712900000004</v>
      </c>
      <c r="M459" s="142" t="s">
        <v>189</v>
      </c>
      <c r="N459" s="142" t="s">
        <v>189</v>
      </c>
      <c r="P459" s="610">
        <v>347.96647000000002</v>
      </c>
      <c r="Q459" s="141">
        <f t="shared" si="14"/>
        <v>0</v>
      </c>
    </row>
    <row r="460" spans="1:17" ht="42">
      <c r="A460" s="136" t="s">
        <v>2455</v>
      </c>
      <c r="B460" s="137" t="s">
        <v>2458</v>
      </c>
      <c r="C460" s="138" t="s">
        <v>990</v>
      </c>
      <c r="D460" s="138" t="s">
        <v>975</v>
      </c>
      <c r="E460" s="136" t="s">
        <v>1571</v>
      </c>
      <c r="F460" s="419">
        <v>43100</v>
      </c>
      <c r="G460" s="140">
        <v>1917.7498800000001</v>
      </c>
      <c r="H460" s="140">
        <v>7</v>
      </c>
      <c r="I460" s="140">
        <v>17.698109999999996</v>
      </c>
      <c r="J460" s="140">
        <v>149.89761999999999</v>
      </c>
      <c r="K460" s="140">
        <v>274.26176000000004</v>
      </c>
      <c r="L460" s="140">
        <v>479.47681900000003</v>
      </c>
      <c r="M460" s="143" t="s">
        <v>189</v>
      </c>
      <c r="N460" s="143" t="s">
        <v>189</v>
      </c>
      <c r="P460" s="608">
        <v>274.26176000000004</v>
      </c>
      <c r="Q460" s="141">
        <f t="shared" si="14"/>
        <v>0</v>
      </c>
    </row>
    <row r="461" spans="1:17" ht="21">
      <c r="A461" s="138" t="s">
        <v>2457</v>
      </c>
      <c r="B461" s="135" t="s">
        <v>2460</v>
      </c>
      <c r="C461" s="136" t="s">
        <v>945</v>
      </c>
      <c r="D461" s="136" t="s">
        <v>811</v>
      </c>
      <c r="E461" s="138" t="s">
        <v>1571</v>
      </c>
      <c r="F461" s="420">
        <v>43100</v>
      </c>
      <c r="G461" s="141">
        <v>1915.2435990000001</v>
      </c>
      <c r="H461" s="141">
        <v>9</v>
      </c>
      <c r="I461" s="141">
        <v>19.316980000000004</v>
      </c>
      <c r="J461" s="141">
        <v>74.866989999999987</v>
      </c>
      <c r="K461" s="141">
        <v>329.03262999999998</v>
      </c>
      <c r="L461" s="141">
        <v>434.70183900000006</v>
      </c>
      <c r="M461" s="142" t="s">
        <v>189</v>
      </c>
      <c r="N461" s="142" t="s">
        <v>189</v>
      </c>
      <c r="P461" s="610">
        <v>329.03262999999998</v>
      </c>
      <c r="Q461" s="141">
        <f t="shared" si="14"/>
        <v>0</v>
      </c>
    </row>
    <row r="462" spans="1:17">
      <c r="A462" s="136" t="s">
        <v>2459</v>
      </c>
      <c r="B462" s="137" t="s">
        <v>2462</v>
      </c>
      <c r="C462" s="138" t="s">
        <v>988</v>
      </c>
      <c r="D462" s="138" t="s">
        <v>1474</v>
      </c>
      <c r="E462" s="136" t="s">
        <v>1571</v>
      </c>
      <c r="F462" s="419">
        <v>43100</v>
      </c>
      <c r="G462" s="140">
        <v>1912.2447400000001</v>
      </c>
      <c r="H462" s="140">
        <v>19</v>
      </c>
      <c r="I462" s="140">
        <v>27.233509999999999</v>
      </c>
      <c r="J462" s="140">
        <v>86.239450000000005</v>
      </c>
      <c r="K462" s="140">
        <v>646.60269999999991</v>
      </c>
      <c r="L462" s="140">
        <v>830.72757999999999</v>
      </c>
      <c r="M462" s="143" t="s">
        <v>189</v>
      </c>
      <c r="N462" s="143" t="s">
        <v>189</v>
      </c>
      <c r="P462" s="608">
        <v>646.60269999999991</v>
      </c>
      <c r="Q462" s="141">
        <f t="shared" si="14"/>
        <v>0</v>
      </c>
    </row>
    <row r="463" spans="1:17" ht="21">
      <c r="A463" s="138" t="s">
        <v>2461</v>
      </c>
      <c r="B463" s="135" t="s">
        <v>2464</v>
      </c>
      <c r="C463" s="136" t="s">
        <v>1086</v>
      </c>
      <c r="D463" s="136" t="s">
        <v>969</v>
      </c>
      <c r="E463" s="138" t="s">
        <v>1571</v>
      </c>
      <c r="F463" s="420">
        <v>43100</v>
      </c>
      <c r="G463" s="141">
        <v>1911.2298700000001</v>
      </c>
      <c r="H463" s="142" t="s">
        <v>189</v>
      </c>
      <c r="I463" s="141">
        <v>18.198040000000002</v>
      </c>
      <c r="J463" s="141">
        <v>57.627139999999997</v>
      </c>
      <c r="K463" s="141">
        <v>612.08526000000006</v>
      </c>
      <c r="L463" s="141">
        <v>747.48804900000005</v>
      </c>
      <c r="M463" s="142" t="s">
        <v>189</v>
      </c>
      <c r="N463" s="142" t="s">
        <v>189</v>
      </c>
      <c r="P463" s="610">
        <v>612.08526000000006</v>
      </c>
      <c r="Q463" s="141">
        <f t="shared" si="14"/>
        <v>0</v>
      </c>
    </row>
    <row r="464" spans="1:17" ht="31.5">
      <c r="A464" s="136" t="s">
        <v>2463</v>
      </c>
      <c r="B464" s="137" t="s">
        <v>2466</v>
      </c>
      <c r="C464" s="138" t="s">
        <v>899</v>
      </c>
      <c r="D464" s="138" t="s">
        <v>811</v>
      </c>
      <c r="E464" s="136" t="s">
        <v>1571</v>
      </c>
      <c r="F464" s="419">
        <v>43100</v>
      </c>
      <c r="G464" s="140">
        <v>1895.7829199999999</v>
      </c>
      <c r="H464" s="140">
        <v>21</v>
      </c>
      <c r="I464" s="140">
        <v>25.582640000000001</v>
      </c>
      <c r="J464" s="140">
        <v>142.94971000000001</v>
      </c>
      <c r="K464" s="140">
        <v>813.40191000000004</v>
      </c>
      <c r="L464" s="140">
        <v>1000.20973</v>
      </c>
      <c r="M464" s="140">
        <v>3</v>
      </c>
      <c r="N464" s="140">
        <v>23</v>
      </c>
      <c r="O464" s="211">
        <f t="shared" si="13"/>
        <v>0.11538461538461539</v>
      </c>
      <c r="P464" s="608">
        <v>813.40191000000004</v>
      </c>
      <c r="Q464" s="141">
        <f t="shared" si="14"/>
        <v>93.854066538461552</v>
      </c>
    </row>
    <row r="465" spans="1:17" ht="21">
      <c r="A465" s="138" t="s">
        <v>2465</v>
      </c>
      <c r="B465" s="135" t="s">
        <v>2468</v>
      </c>
      <c r="C465" s="136" t="s">
        <v>1326</v>
      </c>
      <c r="D465" s="136" t="s">
        <v>1320</v>
      </c>
      <c r="E465" s="138" t="s">
        <v>1571</v>
      </c>
      <c r="F465" s="420">
        <v>37621</v>
      </c>
      <c r="G465" s="141">
        <v>1891.1067500000001</v>
      </c>
      <c r="H465" s="141">
        <v>17</v>
      </c>
      <c r="I465" s="141">
        <v>6.3645300000000002</v>
      </c>
      <c r="J465" s="141">
        <v>62.510280000000002</v>
      </c>
      <c r="K465" s="141">
        <v>790.47417999999993</v>
      </c>
      <c r="L465" s="141">
        <v>919.9203500000001</v>
      </c>
      <c r="M465" s="141">
        <v>5</v>
      </c>
      <c r="N465" s="141">
        <v>13</v>
      </c>
      <c r="O465" s="211">
        <f t="shared" si="13"/>
        <v>0.27777777777777779</v>
      </c>
      <c r="P465" s="610">
        <v>790.47417999999993</v>
      </c>
      <c r="Q465" s="141">
        <f t="shared" si="14"/>
        <v>219.57616111111111</v>
      </c>
    </row>
    <row r="466" spans="1:17" ht="21">
      <c r="A466" s="136" t="s">
        <v>2467</v>
      </c>
      <c r="B466" s="137" t="s">
        <v>2470</v>
      </c>
      <c r="C466" s="138" t="s">
        <v>1196</v>
      </c>
      <c r="D466" s="138" t="s">
        <v>1190</v>
      </c>
      <c r="E466" s="136" t="s">
        <v>1571</v>
      </c>
      <c r="F466" s="419">
        <v>43100</v>
      </c>
      <c r="G466" s="140">
        <v>1881.3762300000001</v>
      </c>
      <c r="H466" s="140">
        <v>15</v>
      </c>
      <c r="I466" s="140">
        <v>54.852989999999998</v>
      </c>
      <c r="J466" s="140">
        <v>360.69993000000005</v>
      </c>
      <c r="K466" s="140">
        <v>691.85770000000002</v>
      </c>
      <c r="L466" s="140">
        <v>1132.4815490000001</v>
      </c>
      <c r="M466" s="143" t="s">
        <v>189</v>
      </c>
      <c r="N466" s="143" t="s">
        <v>189</v>
      </c>
      <c r="P466" s="608">
        <v>691.85770000000002</v>
      </c>
      <c r="Q466" s="141">
        <f t="shared" si="14"/>
        <v>0</v>
      </c>
    </row>
    <row r="467" spans="1:17">
      <c r="A467" s="138" t="s">
        <v>2469</v>
      </c>
      <c r="B467" s="135" t="s">
        <v>2472</v>
      </c>
      <c r="C467" s="136" t="s">
        <v>1444</v>
      </c>
      <c r="D467" s="136" t="s">
        <v>1429</v>
      </c>
      <c r="E467" s="138" t="s">
        <v>1571</v>
      </c>
      <c r="F467" s="420">
        <v>43100</v>
      </c>
      <c r="G467" s="141">
        <v>1862.44074</v>
      </c>
      <c r="H467" s="141">
        <v>13</v>
      </c>
      <c r="I467" s="141">
        <v>99.529139999999998</v>
      </c>
      <c r="J467" s="141">
        <v>159.87604999999999</v>
      </c>
      <c r="K467" s="141">
        <v>507.93617</v>
      </c>
      <c r="L467" s="141">
        <v>845.10499000000004</v>
      </c>
      <c r="M467" s="142" t="s">
        <v>189</v>
      </c>
      <c r="N467" s="142" t="s">
        <v>189</v>
      </c>
      <c r="P467" s="610">
        <v>507.93617</v>
      </c>
      <c r="Q467" s="141">
        <f t="shared" si="14"/>
        <v>0</v>
      </c>
    </row>
    <row r="468" spans="1:17" ht="21">
      <c r="A468" s="136" t="s">
        <v>2471</v>
      </c>
      <c r="B468" s="137" t="s">
        <v>2474</v>
      </c>
      <c r="C468" s="138" t="s">
        <v>1556</v>
      </c>
      <c r="D468" s="138" t="s">
        <v>1279</v>
      </c>
      <c r="E468" s="136" t="s">
        <v>1571</v>
      </c>
      <c r="F468" s="419">
        <v>43100</v>
      </c>
      <c r="G468" s="140">
        <v>1830.4983100000002</v>
      </c>
      <c r="H468" s="140">
        <v>9</v>
      </c>
      <c r="I468" s="140">
        <v>37.835389999999997</v>
      </c>
      <c r="J468" s="140">
        <v>160.14777000000001</v>
      </c>
      <c r="K468" s="140">
        <v>440.75040000000001</v>
      </c>
      <c r="L468" s="140">
        <v>646.25992000000008</v>
      </c>
      <c r="M468" s="143" t="s">
        <v>189</v>
      </c>
      <c r="N468" s="143" t="s">
        <v>189</v>
      </c>
      <c r="P468" s="608">
        <v>440.75040000000001</v>
      </c>
      <c r="Q468" s="141">
        <f t="shared" si="14"/>
        <v>0</v>
      </c>
    </row>
    <row r="469" spans="1:17" ht="21">
      <c r="A469" s="138" t="s">
        <v>2473</v>
      </c>
      <c r="B469" s="135" t="s">
        <v>2476</v>
      </c>
      <c r="C469" s="136" t="s">
        <v>764</v>
      </c>
      <c r="D469" s="136" t="s">
        <v>753</v>
      </c>
      <c r="E469" s="138" t="s">
        <v>1571</v>
      </c>
      <c r="F469" s="420">
        <v>43100</v>
      </c>
      <c r="G469" s="141">
        <v>1829.73405</v>
      </c>
      <c r="H469" s="141">
        <v>6</v>
      </c>
      <c r="I469" s="141">
        <v>3.1284000000000001</v>
      </c>
      <c r="J469" s="141">
        <v>23.603380000000001</v>
      </c>
      <c r="K469" s="141">
        <v>202.80981999999997</v>
      </c>
      <c r="L469" s="141">
        <v>280.64895000000001</v>
      </c>
      <c r="M469" s="142" t="s">
        <v>189</v>
      </c>
      <c r="N469" s="142" t="s">
        <v>189</v>
      </c>
      <c r="P469" s="610">
        <v>202.80981999999997</v>
      </c>
      <c r="Q469" s="141">
        <f t="shared" si="14"/>
        <v>0</v>
      </c>
    </row>
    <row r="470" spans="1:17" ht="52.5">
      <c r="A470" s="136" t="s">
        <v>2475</v>
      </c>
      <c r="B470" s="137" t="s">
        <v>2478</v>
      </c>
      <c r="C470" s="138" t="s">
        <v>1274</v>
      </c>
      <c r="D470" s="138" t="s">
        <v>1266</v>
      </c>
      <c r="E470" s="136" t="s">
        <v>1571</v>
      </c>
      <c r="F470" s="419">
        <v>43100</v>
      </c>
      <c r="G470" s="140">
        <v>1823.9211100000002</v>
      </c>
      <c r="H470" s="140">
        <v>18</v>
      </c>
      <c r="I470" s="140">
        <v>58.77516</v>
      </c>
      <c r="J470" s="140">
        <v>185.57660000000001</v>
      </c>
      <c r="K470" s="140">
        <v>896.80706999999995</v>
      </c>
      <c r="L470" s="140">
        <v>1178.37392</v>
      </c>
      <c r="M470" s="143" t="s">
        <v>189</v>
      </c>
      <c r="N470" s="143" t="s">
        <v>189</v>
      </c>
      <c r="P470" s="608">
        <v>896.80706999999995</v>
      </c>
      <c r="Q470" s="141">
        <f t="shared" si="14"/>
        <v>0</v>
      </c>
    </row>
    <row r="471" spans="1:17">
      <c r="A471" s="138" t="s">
        <v>2477</v>
      </c>
      <c r="B471" s="135" t="s">
        <v>2480</v>
      </c>
      <c r="C471" s="136" t="s">
        <v>1329</v>
      </c>
      <c r="D471" s="136" t="s">
        <v>1320</v>
      </c>
      <c r="E471" s="138" t="s">
        <v>1571</v>
      </c>
      <c r="F471" s="420">
        <v>43100</v>
      </c>
      <c r="G471" s="141">
        <v>1816.1417200000001</v>
      </c>
      <c r="H471" s="141">
        <v>7</v>
      </c>
      <c r="I471" s="141">
        <v>30.54562</v>
      </c>
      <c r="J471" s="141">
        <v>182.66707000000002</v>
      </c>
      <c r="K471" s="141">
        <v>255.18928</v>
      </c>
      <c r="L471" s="141">
        <v>481.48559999999998</v>
      </c>
      <c r="M471" s="142" t="s">
        <v>189</v>
      </c>
      <c r="N471" s="142" t="s">
        <v>189</v>
      </c>
      <c r="P471" s="610">
        <v>255.18928</v>
      </c>
      <c r="Q471" s="141">
        <f t="shared" si="14"/>
        <v>0</v>
      </c>
    </row>
    <row r="472" spans="1:17" ht="31.5">
      <c r="A472" s="136" t="s">
        <v>2479</v>
      </c>
      <c r="B472" s="137" t="s">
        <v>2482</v>
      </c>
      <c r="C472" s="138" t="s">
        <v>1254</v>
      </c>
      <c r="D472" s="138" t="s">
        <v>1251</v>
      </c>
      <c r="E472" s="136" t="s">
        <v>1571</v>
      </c>
      <c r="F472" s="419">
        <v>43100</v>
      </c>
      <c r="G472" s="140">
        <v>1813.24297</v>
      </c>
      <c r="H472" s="140">
        <v>26</v>
      </c>
      <c r="I472" s="143" t="s">
        <v>189</v>
      </c>
      <c r="J472" s="140">
        <v>-77.828170000000014</v>
      </c>
      <c r="K472" s="140">
        <v>981.76375000000007</v>
      </c>
      <c r="L472" s="140">
        <v>920.38850000000002</v>
      </c>
      <c r="M472" s="140">
        <v>15</v>
      </c>
      <c r="N472" s="140">
        <v>29</v>
      </c>
      <c r="O472" s="211">
        <f t="shared" si="13"/>
        <v>0.34090909090909088</v>
      </c>
      <c r="P472" s="608">
        <v>981.76375000000007</v>
      </c>
      <c r="Q472" s="141">
        <f t="shared" si="14"/>
        <v>334.69218749999999</v>
      </c>
    </row>
    <row r="473" spans="1:17" ht="31.5">
      <c r="A473" s="138" t="s">
        <v>2481</v>
      </c>
      <c r="B473" s="135" t="s">
        <v>2484</v>
      </c>
      <c r="C473" s="136" t="s">
        <v>691</v>
      </c>
      <c r="D473" s="136" t="s">
        <v>689</v>
      </c>
      <c r="E473" s="138" t="s">
        <v>1571</v>
      </c>
      <c r="F473" s="420">
        <v>43100</v>
      </c>
      <c r="G473" s="141">
        <v>1807.6156300000002</v>
      </c>
      <c r="H473" s="141">
        <v>17</v>
      </c>
      <c r="I473" s="142" t="s">
        <v>189</v>
      </c>
      <c r="J473" s="141">
        <v>164.04911999999999</v>
      </c>
      <c r="K473" s="141">
        <v>579.39106000000004</v>
      </c>
      <c r="L473" s="141">
        <v>907.66925000000003</v>
      </c>
      <c r="M473" s="142" t="s">
        <v>189</v>
      </c>
      <c r="N473" s="142" t="s">
        <v>189</v>
      </c>
      <c r="P473" s="610">
        <v>579.39106000000004</v>
      </c>
      <c r="Q473" s="141">
        <f t="shared" si="14"/>
        <v>0</v>
      </c>
    </row>
    <row r="474" spans="1:17">
      <c r="A474" s="136" t="s">
        <v>2483</v>
      </c>
      <c r="B474" s="137" t="s">
        <v>2486</v>
      </c>
      <c r="C474" s="138" t="s">
        <v>1164</v>
      </c>
      <c r="D474" s="138" t="s">
        <v>1156</v>
      </c>
      <c r="E474" s="136" t="s">
        <v>1571</v>
      </c>
      <c r="F474" s="419">
        <v>43100</v>
      </c>
      <c r="G474" s="140">
        <v>1798.0025000000001</v>
      </c>
      <c r="H474" s="140">
        <v>13</v>
      </c>
      <c r="I474" s="143" t="s">
        <v>189</v>
      </c>
      <c r="J474" s="140">
        <v>10.64889</v>
      </c>
      <c r="K474" s="140">
        <v>522.83733000000007</v>
      </c>
      <c r="L474" s="140">
        <v>606.03673000000003</v>
      </c>
      <c r="M474" s="140">
        <v>2</v>
      </c>
      <c r="N474" s="140">
        <v>2</v>
      </c>
      <c r="O474" s="211">
        <f t="shared" si="13"/>
        <v>0.5</v>
      </c>
      <c r="P474" s="608">
        <v>522.83733000000007</v>
      </c>
      <c r="Q474" s="141">
        <f t="shared" si="14"/>
        <v>261.41866500000003</v>
      </c>
    </row>
    <row r="475" spans="1:17" ht="21">
      <c r="A475" s="138" t="s">
        <v>2485</v>
      </c>
      <c r="B475" s="135" t="s">
        <v>2488</v>
      </c>
      <c r="C475" s="136" t="s">
        <v>1287</v>
      </c>
      <c r="D475" s="136" t="s">
        <v>1266</v>
      </c>
      <c r="E475" s="138" t="s">
        <v>1571</v>
      </c>
      <c r="F475" s="420">
        <v>43100</v>
      </c>
      <c r="G475" s="141">
        <v>1791.9435600000002</v>
      </c>
      <c r="H475" s="141">
        <v>10</v>
      </c>
      <c r="I475" s="142" t="s">
        <v>189</v>
      </c>
      <c r="J475" s="141">
        <v>26.46818</v>
      </c>
      <c r="K475" s="141">
        <v>328.18736000000001</v>
      </c>
      <c r="L475" s="141">
        <v>388.15209999999996</v>
      </c>
      <c r="M475" s="142" t="s">
        <v>189</v>
      </c>
      <c r="N475" s="142" t="s">
        <v>189</v>
      </c>
      <c r="P475" s="610">
        <v>328.18736000000001</v>
      </c>
      <c r="Q475" s="141">
        <f t="shared" si="14"/>
        <v>0</v>
      </c>
    </row>
    <row r="476" spans="1:17" ht="21">
      <c r="A476" s="136" t="s">
        <v>2487</v>
      </c>
      <c r="B476" s="137" t="s">
        <v>2490</v>
      </c>
      <c r="C476" s="138" t="s">
        <v>1271</v>
      </c>
      <c r="D476" s="138" t="s">
        <v>1266</v>
      </c>
      <c r="E476" s="136" t="s">
        <v>1571</v>
      </c>
      <c r="F476" s="419">
        <v>43100</v>
      </c>
      <c r="G476" s="140">
        <v>1789.5481800000002</v>
      </c>
      <c r="H476" s="140">
        <v>14</v>
      </c>
      <c r="I476" s="140">
        <v>9.5600499999999986</v>
      </c>
      <c r="J476" s="140">
        <v>169.52540999999999</v>
      </c>
      <c r="K476" s="140">
        <v>611.06546000000014</v>
      </c>
      <c r="L476" s="140">
        <v>850.06425899999999</v>
      </c>
      <c r="M476" s="143" t="s">
        <v>189</v>
      </c>
      <c r="N476" s="143" t="s">
        <v>189</v>
      </c>
      <c r="P476" s="608">
        <v>611.06546000000014</v>
      </c>
      <c r="Q476" s="141">
        <f t="shared" si="14"/>
        <v>0</v>
      </c>
    </row>
    <row r="477" spans="1:17" ht="21">
      <c r="A477" s="138" t="s">
        <v>2489</v>
      </c>
      <c r="B477" s="135" t="s">
        <v>2492</v>
      </c>
      <c r="C477" s="136" t="s">
        <v>1044</v>
      </c>
      <c r="D477" s="136" t="s">
        <v>971</v>
      </c>
      <c r="E477" s="138" t="s">
        <v>1571</v>
      </c>
      <c r="F477" s="420">
        <v>43100</v>
      </c>
      <c r="G477" s="141">
        <v>1787.6664499999999</v>
      </c>
      <c r="H477" s="141">
        <v>16</v>
      </c>
      <c r="I477" s="141">
        <v>64.692160000000001</v>
      </c>
      <c r="J477" s="141">
        <v>204.85848999999999</v>
      </c>
      <c r="K477" s="141">
        <v>522.39352000000008</v>
      </c>
      <c r="L477" s="141">
        <v>925.17939000000001</v>
      </c>
      <c r="M477" s="142" t="s">
        <v>189</v>
      </c>
      <c r="N477" s="142" t="s">
        <v>189</v>
      </c>
      <c r="P477" s="610">
        <v>522.39352000000008</v>
      </c>
      <c r="Q477" s="141">
        <f t="shared" si="14"/>
        <v>0</v>
      </c>
    </row>
    <row r="478" spans="1:17" ht="21">
      <c r="A478" s="136" t="s">
        <v>2491</v>
      </c>
      <c r="B478" s="137" t="s">
        <v>2494</v>
      </c>
      <c r="C478" s="138" t="s">
        <v>1300</v>
      </c>
      <c r="D478" s="138" t="s">
        <v>1266</v>
      </c>
      <c r="E478" s="136" t="s">
        <v>1571</v>
      </c>
      <c r="F478" s="419">
        <v>43100</v>
      </c>
      <c r="G478" s="140">
        <v>1783.3961700000002</v>
      </c>
      <c r="H478" s="140">
        <v>8</v>
      </c>
      <c r="I478" s="140">
        <v>8.7873499999999982</v>
      </c>
      <c r="J478" s="140">
        <v>74.426220000000001</v>
      </c>
      <c r="K478" s="140">
        <v>235.10229000000001</v>
      </c>
      <c r="L478" s="140">
        <v>448.29300000000001</v>
      </c>
      <c r="M478" s="143" t="s">
        <v>189</v>
      </c>
      <c r="N478" s="143" t="s">
        <v>189</v>
      </c>
      <c r="P478" s="608">
        <v>235.10229000000001</v>
      </c>
      <c r="Q478" s="141">
        <f t="shared" si="14"/>
        <v>0</v>
      </c>
    </row>
    <row r="479" spans="1:17" ht="21">
      <c r="A479" s="138" t="s">
        <v>2493</v>
      </c>
      <c r="B479" s="135" t="s">
        <v>2496</v>
      </c>
      <c r="C479" s="136" t="s">
        <v>1360</v>
      </c>
      <c r="D479" s="136" t="s">
        <v>1341</v>
      </c>
      <c r="E479" s="138" t="s">
        <v>1571</v>
      </c>
      <c r="F479" s="420">
        <v>43100</v>
      </c>
      <c r="G479" s="141">
        <v>1774.8936500000002</v>
      </c>
      <c r="H479" s="141">
        <v>15</v>
      </c>
      <c r="I479" s="141">
        <v>44.862000000000002</v>
      </c>
      <c r="J479" s="141">
        <v>160.74313000000001</v>
      </c>
      <c r="K479" s="141">
        <v>559.90463</v>
      </c>
      <c r="L479" s="141">
        <v>892.14025000000004</v>
      </c>
      <c r="M479" s="142" t="s">
        <v>189</v>
      </c>
      <c r="N479" s="142" t="s">
        <v>189</v>
      </c>
      <c r="P479" s="610">
        <v>559.90463</v>
      </c>
      <c r="Q479" s="141">
        <f t="shared" si="14"/>
        <v>0</v>
      </c>
    </row>
    <row r="480" spans="1:17" ht="21">
      <c r="A480" s="136" t="s">
        <v>2495</v>
      </c>
      <c r="B480" s="137" t="s">
        <v>2498</v>
      </c>
      <c r="C480" s="138" t="s">
        <v>939</v>
      </c>
      <c r="D480" s="138" t="s">
        <v>811</v>
      </c>
      <c r="E480" s="136" t="s">
        <v>1571</v>
      </c>
      <c r="F480" s="419">
        <v>43100</v>
      </c>
      <c r="G480" s="140">
        <v>1756.1921000000002</v>
      </c>
      <c r="H480" s="140">
        <v>16</v>
      </c>
      <c r="I480" s="140">
        <v>1.9152100000000001</v>
      </c>
      <c r="J480" s="140">
        <v>13.481110000000001</v>
      </c>
      <c r="K480" s="140">
        <v>480.85813000000002</v>
      </c>
      <c r="L480" s="140">
        <v>547.46046999999999</v>
      </c>
      <c r="M480" s="143" t="s">
        <v>189</v>
      </c>
      <c r="N480" s="143" t="s">
        <v>189</v>
      </c>
      <c r="P480" s="608">
        <v>480.85813000000002</v>
      </c>
      <c r="Q480" s="141">
        <f t="shared" si="14"/>
        <v>0</v>
      </c>
    </row>
    <row r="481" spans="1:17" ht="21">
      <c r="A481" s="138" t="s">
        <v>2497</v>
      </c>
      <c r="B481" s="135" t="s">
        <v>2500</v>
      </c>
      <c r="C481" s="136" t="s">
        <v>603</v>
      </c>
      <c r="D481" s="136" t="s">
        <v>596</v>
      </c>
      <c r="E481" s="138" t="s">
        <v>1571</v>
      </c>
      <c r="F481" s="420">
        <v>43100</v>
      </c>
      <c r="G481" s="141">
        <v>1752.87032</v>
      </c>
      <c r="H481" s="141">
        <v>4</v>
      </c>
      <c r="I481" s="141">
        <v>20.707329999999999</v>
      </c>
      <c r="J481" s="141">
        <v>87.114289999999997</v>
      </c>
      <c r="K481" s="141">
        <v>164.60444999999999</v>
      </c>
      <c r="L481" s="141">
        <v>307.95436999999998</v>
      </c>
      <c r="M481" s="142" t="s">
        <v>189</v>
      </c>
      <c r="N481" s="142" t="s">
        <v>189</v>
      </c>
      <c r="P481" s="610">
        <v>164.60444999999999</v>
      </c>
      <c r="Q481" s="141">
        <f t="shared" si="14"/>
        <v>0</v>
      </c>
    </row>
    <row r="482" spans="1:17" ht="31.5">
      <c r="A482" s="136" t="s">
        <v>2499</v>
      </c>
      <c r="B482" s="137" t="s">
        <v>2502</v>
      </c>
      <c r="C482" s="138" t="s">
        <v>929</v>
      </c>
      <c r="D482" s="138" t="s">
        <v>811</v>
      </c>
      <c r="E482" s="136" t="s">
        <v>1571</v>
      </c>
      <c r="F482" s="419">
        <v>43100</v>
      </c>
      <c r="G482" s="140">
        <v>1748.8583190000002</v>
      </c>
      <c r="H482" s="140">
        <v>25</v>
      </c>
      <c r="I482" s="143" t="s">
        <v>189</v>
      </c>
      <c r="J482" s="140">
        <v>128.63715999999999</v>
      </c>
      <c r="K482" s="140">
        <v>943.57188000000008</v>
      </c>
      <c r="L482" s="140">
        <v>1091.2817500000001</v>
      </c>
      <c r="M482" s="140">
        <v>2</v>
      </c>
      <c r="N482" s="140">
        <v>7</v>
      </c>
      <c r="O482" s="211">
        <f t="shared" ref="O482:O539" si="15">M482/(M482+N482)</f>
        <v>0.22222222222222221</v>
      </c>
      <c r="P482" s="608">
        <v>943.57188000000008</v>
      </c>
      <c r="Q482" s="141">
        <f t="shared" ref="Q482:Q545" si="16">O482*P482</f>
        <v>209.68263999999999</v>
      </c>
    </row>
    <row r="483" spans="1:17" ht="31.5">
      <c r="A483" s="138" t="s">
        <v>2501</v>
      </c>
      <c r="B483" s="135" t="s">
        <v>2504</v>
      </c>
      <c r="C483" s="136" t="s">
        <v>1468</v>
      </c>
      <c r="D483" s="136" t="s">
        <v>811</v>
      </c>
      <c r="E483" s="138" t="s">
        <v>1571</v>
      </c>
      <c r="F483" s="420">
        <v>43100</v>
      </c>
      <c r="G483" s="141">
        <v>1745.5644</v>
      </c>
      <c r="H483" s="141">
        <v>3</v>
      </c>
      <c r="I483" s="142" t="s">
        <v>189</v>
      </c>
      <c r="J483" s="141">
        <v>83.322059999999993</v>
      </c>
      <c r="K483" s="141">
        <v>148.17382999999998</v>
      </c>
      <c r="L483" s="141">
        <v>238.81879999999998</v>
      </c>
      <c r="M483" s="142" t="s">
        <v>189</v>
      </c>
      <c r="N483" s="142" t="s">
        <v>189</v>
      </c>
      <c r="P483" s="610">
        <v>148.17382999999998</v>
      </c>
      <c r="Q483" s="141">
        <f t="shared" si="16"/>
        <v>0</v>
      </c>
    </row>
    <row r="484" spans="1:17" ht="31.5">
      <c r="A484" s="136" t="s">
        <v>2503</v>
      </c>
      <c r="B484" s="137" t="s">
        <v>2506</v>
      </c>
      <c r="C484" s="138" t="s">
        <v>925</v>
      </c>
      <c r="D484" s="138" t="s">
        <v>811</v>
      </c>
      <c r="E484" s="136" t="s">
        <v>1571</v>
      </c>
      <c r="F484" s="419">
        <v>43100</v>
      </c>
      <c r="G484" s="140">
        <v>1725.34302</v>
      </c>
      <c r="H484" s="143" t="s">
        <v>189</v>
      </c>
      <c r="I484" s="140">
        <v>15.27538</v>
      </c>
      <c r="J484" s="140">
        <v>39.279540000000004</v>
      </c>
      <c r="K484" s="143" t="s">
        <v>189</v>
      </c>
      <c r="L484" s="140">
        <v>54.554920000000003</v>
      </c>
      <c r="M484" s="143" t="s">
        <v>189</v>
      </c>
      <c r="N484" s="143" t="s">
        <v>189</v>
      </c>
      <c r="P484" s="612" t="s">
        <v>189</v>
      </c>
      <c r="Q484" s="141"/>
    </row>
    <row r="485" spans="1:17" ht="21">
      <c r="A485" s="138" t="s">
        <v>2505</v>
      </c>
      <c r="B485" s="135" t="s">
        <v>2508</v>
      </c>
      <c r="C485" s="136" t="s">
        <v>1250</v>
      </c>
      <c r="D485" s="136" t="s">
        <v>1251</v>
      </c>
      <c r="E485" s="138" t="s">
        <v>1571</v>
      </c>
      <c r="F485" s="420">
        <v>43100</v>
      </c>
      <c r="G485" s="141">
        <v>1721.3054299999999</v>
      </c>
      <c r="H485" s="141">
        <v>9</v>
      </c>
      <c r="I485" s="142" t="s">
        <v>189</v>
      </c>
      <c r="J485" s="141">
        <v>8.6270799999999994</v>
      </c>
      <c r="K485" s="141">
        <v>319.43014999999997</v>
      </c>
      <c r="L485" s="141">
        <v>344.71719999999999</v>
      </c>
      <c r="M485" s="142" t="s">
        <v>189</v>
      </c>
      <c r="N485" s="142" t="s">
        <v>189</v>
      </c>
      <c r="P485" s="610">
        <v>319.43014999999997</v>
      </c>
      <c r="Q485" s="141">
        <f t="shared" si="16"/>
        <v>0</v>
      </c>
    </row>
    <row r="486" spans="1:17" ht="31.5">
      <c r="A486" s="136" t="s">
        <v>2507</v>
      </c>
      <c r="B486" s="137" t="s">
        <v>2510</v>
      </c>
      <c r="C486" s="138" t="s">
        <v>793</v>
      </c>
      <c r="D486" s="138" t="s">
        <v>789</v>
      </c>
      <c r="E486" s="136" t="s">
        <v>1571</v>
      </c>
      <c r="F486" s="419">
        <v>43100</v>
      </c>
      <c r="G486" s="140">
        <v>1720.2091</v>
      </c>
      <c r="H486" s="140">
        <v>8</v>
      </c>
      <c r="I486" s="140"/>
      <c r="J486" s="140">
        <v>-10.406369999999999</v>
      </c>
      <c r="K486" s="140">
        <v>366.23379999999997</v>
      </c>
      <c r="L486" s="140">
        <v>450.90539900000005</v>
      </c>
      <c r="M486" s="140">
        <v>1</v>
      </c>
      <c r="N486" s="140">
        <v>1</v>
      </c>
      <c r="O486" s="211">
        <f t="shared" si="15"/>
        <v>0.5</v>
      </c>
      <c r="P486" s="608">
        <v>366.23379999999997</v>
      </c>
      <c r="Q486" s="141">
        <f t="shared" si="16"/>
        <v>183.11689999999999</v>
      </c>
    </row>
    <row r="487" spans="1:17" ht="42">
      <c r="A487" s="138" t="s">
        <v>2509</v>
      </c>
      <c r="B487" s="135" t="s">
        <v>2512</v>
      </c>
      <c r="C487" s="136" t="s">
        <v>1017</v>
      </c>
      <c r="D487" s="136" t="s">
        <v>1013</v>
      </c>
      <c r="E487" s="138" t="s">
        <v>1571</v>
      </c>
      <c r="F487" s="420">
        <v>43100</v>
      </c>
      <c r="G487" s="141">
        <v>1714.80798</v>
      </c>
      <c r="H487" s="141">
        <v>4</v>
      </c>
      <c r="I487" s="141">
        <v>4.6507200000000006</v>
      </c>
      <c r="J487" s="141">
        <v>14.727290000000002</v>
      </c>
      <c r="K487" s="141">
        <v>98.58914</v>
      </c>
      <c r="L487" s="141">
        <v>133.34623000000002</v>
      </c>
      <c r="M487" s="141">
        <v>4</v>
      </c>
      <c r="N487" s="141">
        <v>4</v>
      </c>
      <c r="O487" s="211">
        <f t="shared" si="15"/>
        <v>0.5</v>
      </c>
      <c r="P487" s="610">
        <v>98.58914</v>
      </c>
      <c r="Q487" s="141">
        <f t="shared" si="16"/>
        <v>49.29457</v>
      </c>
    </row>
    <row r="488" spans="1:17" ht="42">
      <c r="A488" s="136" t="s">
        <v>2511</v>
      </c>
      <c r="B488" s="137" t="s">
        <v>2514</v>
      </c>
      <c r="C488" s="138" t="s">
        <v>965</v>
      </c>
      <c r="D488" s="138" t="s">
        <v>811</v>
      </c>
      <c r="E488" s="136" t="s">
        <v>1571</v>
      </c>
      <c r="F488" s="419">
        <v>43100</v>
      </c>
      <c r="G488" s="140">
        <v>1711.3086800000001</v>
      </c>
      <c r="H488" s="140">
        <v>8</v>
      </c>
      <c r="I488" s="140">
        <v>5.7050200000000002</v>
      </c>
      <c r="J488" s="140">
        <v>29.69333</v>
      </c>
      <c r="K488" s="140">
        <v>452.30338</v>
      </c>
      <c r="L488" s="140">
        <v>643.383419</v>
      </c>
      <c r="M488" s="143" t="s">
        <v>189</v>
      </c>
      <c r="N488" s="143" t="s">
        <v>189</v>
      </c>
      <c r="P488" s="608">
        <v>452.30338</v>
      </c>
      <c r="Q488" s="141">
        <f t="shared" si="16"/>
        <v>0</v>
      </c>
    </row>
    <row r="489" spans="1:17">
      <c r="A489" s="138" t="s">
        <v>2513</v>
      </c>
      <c r="B489" s="135" t="s">
        <v>2516</v>
      </c>
      <c r="C489" s="136" t="s">
        <v>1508</v>
      </c>
      <c r="D489" s="136" t="s">
        <v>1501</v>
      </c>
      <c r="E489" s="138" t="s">
        <v>1571</v>
      </c>
      <c r="F489" s="420">
        <v>43100</v>
      </c>
      <c r="G489" s="141">
        <v>1706.1524199999999</v>
      </c>
      <c r="H489" s="141">
        <v>9</v>
      </c>
      <c r="I489" s="141">
        <v>5.091660000000001</v>
      </c>
      <c r="J489" s="141">
        <v>5.32864</v>
      </c>
      <c r="K489" s="141">
        <v>292.99511999999999</v>
      </c>
      <c r="L489" s="141">
        <v>330.83081900000002</v>
      </c>
      <c r="M489" s="142" t="s">
        <v>189</v>
      </c>
      <c r="N489" s="142" t="s">
        <v>189</v>
      </c>
      <c r="P489" s="610">
        <v>292.99511999999999</v>
      </c>
      <c r="Q489" s="141">
        <f t="shared" si="16"/>
        <v>0</v>
      </c>
    </row>
    <row r="490" spans="1:17" ht="42">
      <c r="A490" s="136" t="s">
        <v>2515</v>
      </c>
      <c r="B490" s="137" t="s">
        <v>2518</v>
      </c>
      <c r="C490" s="138" t="s">
        <v>950</v>
      </c>
      <c r="D490" s="138" t="s">
        <v>811</v>
      </c>
      <c r="E490" s="136" t="s">
        <v>1571</v>
      </c>
      <c r="F490" s="419">
        <v>43100</v>
      </c>
      <c r="G490" s="140">
        <v>1690.56897</v>
      </c>
      <c r="H490" s="140">
        <v>13</v>
      </c>
      <c r="I490" s="140">
        <v>0.2717</v>
      </c>
      <c r="J490" s="140">
        <v>19.98227</v>
      </c>
      <c r="K490" s="140">
        <v>468.50469000000004</v>
      </c>
      <c r="L490" s="140">
        <v>522.86111000000005</v>
      </c>
      <c r="M490" s="143" t="s">
        <v>189</v>
      </c>
      <c r="N490" s="140">
        <v>12</v>
      </c>
      <c r="P490" s="608">
        <v>468.50469000000004</v>
      </c>
      <c r="Q490" s="141">
        <f t="shared" si="16"/>
        <v>0</v>
      </c>
    </row>
    <row r="491" spans="1:17" ht="31.5">
      <c r="A491" s="138" t="s">
        <v>2517</v>
      </c>
      <c r="B491" s="135" t="s">
        <v>2520</v>
      </c>
      <c r="C491" s="136" t="s">
        <v>1195</v>
      </c>
      <c r="D491" s="136" t="s">
        <v>1190</v>
      </c>
      <c r="E491" s="138" t="s">
        <v>1571</v>
      </c>
      <c r="F491" s="420">
        <v>43100</v>
      </c>
      <c r="G491" s="141">
        <v>1662.4933700000001</v>
      </c>
      <c r="H491" s="141">
        <v>2</v>
      </c>
      <c r="I491" s="141">
        <v>2.20668</v>
      </c>
      <c r="J491" s="141">
        <v>9.2864300000000011</v>
      </c>
      <c r="K491" s="141">
        <v>172.57954000000001</v>
      </c>
      <c r="L491" s="141">
        <v>184.37625</v>
      </c>
      <c r="M491" s="142" t="s">
        <v>189</v>
      </c>
      <c r="N491" s="142" t="s">
        <v>189</v>
      </c>
      <c r="P491" s="610">
        <v>172.57954000000001</v>
      </c>
      <c r="Q491" s="141">
        <f t="shared" si="16"/>
        <v>0</v>
      </c>
    </row>
    <row r="492" spans="1:17" ht="21">
      <c r="A492" s="136" t="s">
        <v>2519</v>
      </c>
      <c r="B492" s="137" t="s">
        <v>2522</v>
      </c>
      <c r="C492" s="138" t="s">
        <v>910</v>
      </c>
      <c r="D492" s="138" t="s">
        <v>811</v>
      </c>
      <c r="E492" s="136" t="s">
        <v>1571</v>
      </c>
      <c r="F492" s="419">
        <v>43100</v>
      </c>
      <c r="G492" s="140">
        <v>1657.9553800000001</v>
      </c>
      <c r="H492" s="140">
        <v>8</v>
      </c>
      <c r="I492" s="140">
        <v>11.336240000000002</v>
      </c>
      <c r="J492" s="140">
        <v>45.863340000000008</v>
      </c>
      <c r="K492" s="140">
        <v>356.50736999999998</v>
      </c>
      <c r="L492" s="140">
        <v>420.39122000000003</v>
      </c>
      <c r="M492" s="143" t="s">
        <v>189</v>
      </c>
      <c r="N492" s="143" t="s">
        <v>189</v>
      </c>
      <c r="P492" s="608">
        <v>356.50736999999998</v>
      </c>
      <c r="Q492" s="141">
        <f t="shared" si="16"/>
        <v>0</v>
      </c>
    </row>
    <row r="493" spans="1:17" ht="21">
      <c r="A493" s="138" t="s">
        <v>2521</v>
      </c>
      <c r="B493" s="135" t="s">
        <v>2524</v>
      </c>
      <c r="C493" s="136" t="s">
        <v>712</v>
      </c>
      <c r="D493" s="136" t="s">
        <v>713</v>
      </c>
      <c r="E493" s="138" t="s">
        <v>1571</v>
      </c>
      <c r="F493" s="420">
        <v>43100</v>
      </c>
      <c r="G493" s="141">
        <v>1651.1684399999999</v>
      </c>
      <c r="H493" s="141">
        <v>11</v>
      </c>
      <c r="I493" s="142" t="s">
        <v>189</v>
      </c>
      <c r="J493" s="141">
        <v>-1.7119600000000001</v>
      </c>
      <c r="K493" s="141">
        <v>442.63987000000003</v>
      </c>
      <c r="L493" s="141">
        <v>458.41602900000004</v>
      </c>
      <c r="M493" s="142" t="s">
        <v>189</v>
      </c>
      <c r="N493" s="142" t="s">
        <v>189</v>
      </c>
      <c r="P493" s="610">
        <v>442.63987000000003</v>
      </c>
      <c r="Q493" s="141">
        <f t="shared" si="16"/>
        <v>0</v>
      </c>
    </row>
    <row r="494" spans="1:17" ht="31.5">
      <c r="A494" s="136" t="s">
        <v>2523</v>
      </c>
      <c r="B494" s="137" t="s">
        <v>2526</v>
      </c>
      <c r="C494" s="138" t="s">
        <v>1139</v>
      </c>
      <c r="D494" s="138" t="s">
        <v>1135</v>
      </c>
      <c r="E494" s="136" t="s">
        <v>1571</v>
      </c>
      <c r="F494" s="419">
        <v>43100</v>
      </c>
      <c r="G494" s="140">
        <v>1649.7957900000001</v>
      </c>
      <c r="H494" s="140">
        <v>19</v>
      </c>
      <c r="I494" s="140">
        <v>46.656480000000002</v>
      </c>
      <c r="J494" s="140">
        <v>147.74551000000002</v>
      </c>
      <c r="K494" s="140">
        <v>654.3602699999999</v>
      </c>
      <c r="L494" s="140">
        <v>939.32582000000014</v>
      </c>
      <c r="M494" s="143" t="s">
        <v>189</v>
      </c>
      <c r="N494" s="143" t="s">
        <v>189</v>
      </c>
      <c r="P494" s="608">
        <v>654.3602699999999</v>
      </c>
      <c r="Q494" s="141">
        <f t="shared" si="16"/>
        <v>0</v>
      </c>
    </row>
    <row r="495" spans="1:17" ht="21">
      <c r="A495" s="138" t="s">
        <v>2525</v>
      </c>
      <c r="B495" s="135" t="s">
        <v>2528</v>
      </c>
      <c r="C495" s="136" t="s">
        <v>974</v>
      </c>
      <c r="D495" s="136" t="s">
        <v>975</v>
      </c>
      <c r="E495" s="138" t="s">
        <v>1571</v>
      </c>
      <c r="F495" s="420">
        <v>43100</v>
      </c>
      <c r="G495" s="141">
        <v>1645.94571</v>
      </c>
      <c r="H495" s="141">
        <v>12</v>
      </c>
      <c r="I495" s="141">
        <v>17.496809999999996</v>
      </c>
      <c r="J495" s="141">
        <v>121.7621</v>
      </c>
      <c r="K495" s="141">
        <v>589.49380000000008</v>
      </c>
      <c r="L495" s="141">
        <v>889.81173000000001</v>
      </c>
      <c r="M495" s="142" t="s">
        <v>189</v>
      </c>
      <c r="N495" s="142" t="s">
        <v>189</v>
      </c>
      <c r="P495" s="610">
        <v>589.49380000000008</v>
      </c>
      <c r="Q495" s="141">
        <f t="shared" si="16"/>
        <v>0</v>
      </c>
    </row>
    <row r="496" spans="1:17" ht="21">
      <c r="A496" s="136" t="s">
        <v>2527</v>
      </c>
      <c r="B496" s="137" t="s">
        <v>2530</v>
      </c>
      <c r="C496" s="138" t="s">
        <v>595</v>
      </c>
      <c r="D496" s="138" t="s">
        <v>596</v>
      </c>
      <c r="E496" s="136" t="s">
        <v>1571</v>
      </c>
      <c r="F496" s="419">
        <v>43100</v>
      </c>
      <c r="G496" s="140">
        <v>1640.9451800000002</v>
      </c>
      <c r="H496" s="140">
        <v>20</v>
      </c>
      <c r="I496" s="143" t="s">
        <v>189</v>
      </c>
      <c r="J496" s="140">
        <v>16.504348000000004</v>
      </c>
      <c r="K496" s="140">
        <v>559.18821000000003</v>
      </c>
      <c r="L496" s="140">
        <v>625.24078799999995</v>
      </c>
      <c r="M496" s="140">
        <v>3</v>
      </c>
      <c r="N496" s="140">
        <v>7</v>
      </c>
      <c r="O496" s="211">
        <f t="shared" si="15"/>
        <v>0.3</v>
      </c>
      <c r="P496" s="608">
        <v>559.18821000000003</v>
      </c>
      <c r="Q496" s="141">
        <f t="shared" si="16"/>
        <v>167.756463</v>
      </c>
    </row>
    <row r="497" spans="1:17" ht="31.5">
      <c r="A497" s="138" t="s">
        <v>2529</v>
      </c>
      <c r="B497" s="135" t="s">
        <v>2532</v>
      </c>
      <c r="C497" s="136" t="s">
        <v>1370</v>
      </c>
      <c r="D497" s="136" t="s">
        <v>1368</v>
      </c>
      <c r="E497" s="138" t="s">
        <v>1571</v>
      </c>
      <c r="F497" s="420">
        <v>43100</v>
      </c>
      <c r="G497" s="141">
        <v>1630.3775500000002</v>
      </c>
      <c r="H497" s="141">
        <v>6</v>
      </c>
      <c r="I497" s="141">
        <v>21.58004</v>
      </c>
      <c r="J497" s="141">
        <v>90.816020000000009</v>
      </c>
      <c r="K497" s="141">
        <v>197.41485999999998</v>
      </c>
      <c r="L497" s="141">
        <v>345.93470900000005</v>
      </c>
      <c r="M497" s="141">
        <v>3</v>
      </c>
      <c r="N497" s="141">
        <v>6</v>
      </c>
      <c r="O497" s="211">
        <f t="shared" si="15"/>
        <v>0.33333333333333331</v>
      </c>
      <c r="P497" s="610">
        <v>197.41485999999998</v>
      </c>
      <c r="Q497" s="141">
        <f t="shared" si="16"/>
        <v>65.804953333333316</v>
      </c>
    </row>
    <row r="498" spans="1:17" ht="42">
      <c r="A498" s="136" t="s">
        <v>2531</v>
      </c>
      <c r="B498" s="137" t="s">
        <v>2534</v>
      </c>
      <c r="C498" s="138" t="s">
        <v>1334</v>
      </c>
      <c r="D498" s="138" t="s">
        <v>1320</v>
      </c>
      <c r="E498" s="136" t="s">
        <v>1571</v>
      </c>
      <c r="F498" s="419">
        <v>43100</v>
      </c>
      <c r="G498" s="140">
        <v>1616.5715500000001</v>
      </c>
      <c r="H498" s="140">
        <v>9</v>
      </c>
      <c r="I498" s="140">
        <v>6.1803900000000001</v>
      </c>
      <c r="J498" s="140">
        <v>26.009139999999999</v>
      </c>
      <c r="K498" s="140">
        <v>381.98696000000001</v>
      </c>
      <c r="L498" s="140">
        <v>546.00707999999997</v>
      </c>
      <c r="M498" s="143" t="s">
        <v>189</v>
      </c>
      <c r="N498" s="143" t="s">
        <v>189</v>
      </c>
      <c r="P498" s="608">
        <v>381.98696000000001</v>
      </c>
      <c r="Q498" s="141">
        <f t="shared" si="16"/>
        <v>0</v>
      </c>
    </row>
    <row r="499" spans="1:17">
      <c r="A499" s="138" t="s">
        <v>2533</v>
      </c>
      <c r="B499" s="135" t="s">
        <v>2536</v>
      </c>
      <c r="C499" s="136" t="s">
        <v>909</v>
      </c>
      <c r="D499" s="136" t="s">
        <v>811</v>
      </c>
      <c r="E499" s="138" t="s">
        <v>1571</v>
      </c>
      <c r="F499" s="420">
        <v>42735</v>
      </c>
      <c r="G499" s="141">
        <v>1603.3813700000001</v>
      </c>
      <c r="H499" s="141">
        <v>12</v>
      </c>
      <c r="I499" s="141">
        <v>19.103639999999999</v>
      </c>
      <c r="J499" s="141">
        <v>60.494860000000003</v>
      </c>
      <c r="K499" s="141">
        <v>403.78403000000003</v>
      </c>
      <c r="L499" s="141">
        <v>510.83503999999999</v>
      </c>
      <c r="M499" s="142" t="s">
        <v>189</v>
      </c>
      <c r="N499" s="142" t="s">
        <v>189</v>
      </c>
      <c r="P499" s="610">
        <v>403.78403000000003</v>
      </c>
      <c r="Q499" s="141">
        <f t="shared" si="16"/>
        <v>0</v>
      </c>
    </row>
    <row r="500" spans="1:17" ht="31.5">
      <c r="A500" s="136" t="s">
        <v>2535</v>
      </c>
      <c r="B500" s="137" t="s">
        <v>2538</v>
      </c>
      <c r="C500" s="138" t="s">
        <v>1021</v>
      </c>
      <c r="D500" s="138" t="s">
        <v>1501</v>
      </c>
      <c r="E500" s="136" t="s">
        <v>1571</v>
      </c>
      <c r="F500" s="419">
        <v>43100</v>
      </c>
      <c r="G500" s="140">
        <v>1600.43532</v>
      </c>
      <c r="H500" s="140">
        <v>7</v>
      </c>
      <c r="I500" s="140">
        <v>11.025630000000001</v>
      </c>
      <c r="J500" s="140">
        <v>68.581280000000007</v>
      </c>
      <c r="K500" s="140">
        <v>304.78613999999999</v>
      </c>
      <c r="L500" s="140">
        <v>402.92141000000004</v>
      </c>
      <c r="M500" s="140">
        <v>7</v>
      </c>
      <c r="N500" s="140">
        <v>8</v>
      </c>
      <c r="O500" s="211">
        <f t="shared" si="15"/>
        <v>0.46666666666666667</v>
      </c>
      <c r="P500" s="608">
        <v>304.78613999999999</v>
      </c>
      <c r="Q500" s="141">
        <f t="shared" si="16"/>
        <v>142.233532</v>
      </c>
    </row>
    <row r="501" spans="1:17" ht="21">
      <c r="A501" s="138" t="s">
        <v>2537</v>
      </c>
      <c r="B501" s="135" t="s">
        <v>2540</v>
      </c>
      <c r="C501" s="136" t="s">
        <v>1160</v>
      </c>
      <c r="D501" s="136" t="s">
        <v>1156</v>
      </c>
      <c r="E501" s="138" t="s">
        <v>1571</v>
      </c>
      <c r="F501" s="420">
        <v>43100</v>
      </c>
      <c r="G501" s="141">
        <v>1584.17704</v>
      </c>
      <c r="H501" s="141">
        <v>4</v>
      </c>
      <c r="I501" s="141">
        <v>33.750109999999999</v>
      </c>
      <c r="J501" s="141">
        <v>141.93164999999999</v>
      </c>
      <c r="K501" s="141">
        <v>523.38333999999998</v>
      </c>
      <c r="L501" s="141">
        <v>712.45218</v>
      </c>
      <c r="M501" s="141">
        <v>1</v>
      </c>
      <c r="N501" s="141">
        <v>11</v>
      </c>
      <c r="O501" s="211">
        <f t="shared" si="15"/>
        <v>8.3333333333333329E-2</v>
      </c>
      <c r="P501" s="610">
        <v>523.38333999999998</v>
      </c>
      <c r="Q501" s="141">
        <f t="shared" si="16"/>
        <v>43.615278333333329</v>
      </c>
    </row>
    <row r="502" spans="1:17" ht="21">
      <c r="A502" s="136" t="s">
        <v>2539</v>
      </c>
      <c r="B502" s="139" t="s">
        <v>2542</v>
      </c>
      <c r="C502" s="138" t="s">
        <v>906</v>
      </c>
      <c r="D502" s="138" t="s">
        <v>811</v>
      </c>
      <c r="E502" s="136" t="s">
        <v>1571</v>
      </c>
      <c r="F502" s="419">
        <v>43100</v>
      </c>
      <c r="G502" s="140">
        <v>1574.32401</v>
      </c>
      <c r="H502" s="140">
        <v>9</v>
      </c>
      <c r="I502" s="140">
        <v>36.733810000000005</v>
      </c>
      <c r="J502" s="140">
        <v>116.32373</v>
      </c>
      <c r="K502" s="140">
        <v>519.89150000000006</v>
      </c>
      <c r="L502" s="140">
        <v>698.58735000000013</v>
      </c>
      <c r="M502" s="143" t="s">
        <v>189</v>
      </c>
      <c r="N502" s="143" t="s">
        <v>189</v>
      </c>
      <c r="P502" s="608">
        <v>519.89150000000006</v>
      </c>
      <c r="Q502" s="141">
        <f t="shared" si="16"/>
        <v>0</v>
      </c>
    </row>
    <row r="503" spans="1:17" ht="31.5">
      <c r="A503" s="138" t="s">
        <v>2541</v>
      </c>
      <c r="B503" s="135" t="s">
        <v>2544</v>
      </c>
      <c r="C503" s="136" t="s">
        <v>1433</v>
      </c>
      <c r="D503" s="136" t="s">
        <v>1429</v>
      </c>
      <c r="E503" s="138" t="s">
        <v>1571</v>
      </c>
      <c r="F503" s="420">
        <v>42735</v>
      </c>
      <c r="G503" s="141">
        <v>1556.6564499999999</v>
      </c>
      <c r="H503" s="141">
        <v>8</v>
      </c>
      <c r="I503" s="141">
        <v>0.27648999999999996</v>
      </c>
      <c r="J503" s="141">
        <v>0.78999000000000008</v>
      </c>
      <c r="K503" s="141">
        <v>235.01032999999998</v>
      </c>
      <c r="L503" s="141">
        <v>248.73454999999998</v>
      </c>
      <c r="M503" s="142" t="s">
        <v>189</v>
      </c>
      <c r="N503" s="142" t="s">
        <v>189</v>
      </c>
      <c r="P503" s="610">
        <v>235.01032999999998</v>
      </c>
      <c r="Q503" s="141">
        <f t="shared" si="16"/>
        <v>0</v>
      </c>
    </row>
    <row r="504" spans="1:17" ht="42">
      <c r="A504" s="136" t="s">
        <v>2543</v>
      </c>
      <c r="B504" s="137" t="s">
        <v>2546</v>
      </c>
      <c r="C504" s="138" t="s">
        <v>913</v>
      </c>
      <c r="D504" s="138" t="s">
        <v>811</v>
      </c>
      <c r="E504" s="136" t="s">
        <v>1571</v>
      </c>
      <c r="F504" s="419">
        <v>42735</v>
      </c>
      <c r="G504" s="140">
        <v>1526.5959800000001</v>
      </c>
      <c r="H504" s="140">
        <v>2</v>
      </c>
      <c r="I504" s="140">
        <v>37.472080000000005</v>
      </c>
      <c r="J504" s="140">
        <v>155.6925</v>
      </c>
      <c r="K504" s="140">
        <v>134.26843</v>
      </c>
      <c r="L504" s="140">
        <v>334.54349000000008</v>
      </c>
      <c r="M504" s="140">
        <v>2</v>
      </c>
      <c r="N504" s="140">
        <v>10</v>
      </c>
      <c r="O504" s="211">
        <f t="shared" si="15"/>
        <v>0.16666666666666666</v>
      </c>
      <c r="P504" s="608">
        <v>134.26843</v>
      </c>
      <c r="Q504" s="141">
        <f t="shared" si="16"/>
        <v>22.378071666666663</v>
      </c>
    </row>
    <row r="505" spans="1:17" ht="21">
      <c r="A505" s="138" t="s">
        <v>2545</v>
      </c>
      <c r="B505" s="135" t="s">
        <v>2548</v>
      </c>
      <c r="C505" s="136" t="s">
        <v>1478</v>
      </c>
      <c r="D505" s="136" t="s">
        <v>1474</v>
      </c>
      <c r="E505" s="138" t="s">
        <v>1571</v>
      </c>
      <c r="F505" s="420">
        <v>43100</v>
      </c>
      <c r="G505" s="141">
        <v>1526.4848400000001</v>
      </c>
      <c r="H505" s="141">
        <v>15</v>
      </c>
      <c r="I505" s="141">
        <v>0.37391999999999997</v>
      </c>
      <c r="J505" s="141">
        <v>1.1840999999999999</v>
      </c>
      <c r="K505" s="141">
        <v>533.38336000000015</v>
      </c>
      <c r="L505" s="141">
        <v>596.3904500000001</v>
      </c>
      <c r="M505" s="141">
        <v>1</v>
      </c>
      <c r="N505" s="141">
        <v>12</v>
      </c>
      <c r="O505" s="211">
        <f t="shared" si="15"/>
        <v>7.6923076923076927E-2</v>
      </c>
      <c r="P505" s="610">
        <v>533.38336000000015</v>
      </c>
      <c r="Q505" s="141">
        <f t="shared" si="16"/>
        <v>41.029489230769244</v>
      </c>
    </row>
    <row r="506" spans="1:17" ht="31.5">
      <c r="A506" s="136" t="s">
        <v>2547</v>
      </c>
      <c r="B506" s="137" t="s">
        <v>2550</v>
      </c>
      <c r="C506" s="138" t="s">
        <v>629</v>
      </c>
      <c r="D506" s="138" t="s">
        <v>1825</v>
      </c>
      <c r="E506" s="136" t="s">
        <v>1571</v>
      </c>
      <c r="F506" s="419">
        <v>42735</v>
      </c>
      <c r="G506" s="140">
        <v>1522.9797100000001</v>
      </c>
      <c r="H506" s="140">
        <v>5</v>
      </c>
      <c r="I506" s="140">
        <v>2.62019</v>
      </c>
      <c r="J506" s="140">
        <v>14.708740000000002</v>
      </c>
      <c r="K506" s="140">
        <v>88.839749999999995</v>
      </c>
      <c r="L506" s="140">
        <v>109.23737000000001</v>
      </c>
      <c r="M506" s="140">
        <v>10</v>
      </c>
      <c r="N506" s="140">
        <v>11</v>
      </c>
      <c r="O506" s="211">
        <f t="shared" si="15"/>
        <v>0.47619047619047616</v>
      </c>
      <c r="P506" s="608">
        <v>88.839749999999995</v>
      </c>
      <c r="Q506" s="141">
        <f t="shared" si="16"/>
        <v>42.304642857142852</v>
      </c>
    </row>
    <row r="507" spans="1:17" ht="31.5">
      <c r="A507" s="138" t="s">
        <v>2549</v>
      </c>
      <c r="B507" s="135" t="s">
        <v>2552</v>
      </c>
      <c r="C507" s="136" t="s">
        <v>1504</v>
      </c>
      <c r="D507" s="136" t="s">
        <v>1501</v>
      </c>
      <c r="E507" s="138" t="s">
        <v>1571</v>
      </c>
      <c r="F507" s="420">
        <v>43100</v>
      </c>
      <c r="G507" s="141">
        <v>1505.5128500000001</v>
      </c>
      <c r="H507" s="141">
        <v>12</v>
      </c>
      <c r="I507" s="142" t="s">
        <v>189</v>
      </c>
      <c r="J507" s="141">
        <v>22.82666</v>
      </c>
      <c r="K507" s="141">
        <v>442.56610999999998</v>
      </c>
      <c r="L507" s="141">
        <v>478.57924000000003</v>
      </c>
      <c r="M507" s="142" t="s">
        <v>189</v>
      </c>
      <c r="N507" s="142" t="s">
        <v>189</v>
      </c>
      <c r="P507" s="610">
        <v>442.56610999999998</v>
      </c>
      <c r="Q507" s="141">
        <f t="shared" si="16"/>
        <v>0</v>
      </c>
    </row>
    <row r="508" spans="1:17" ht="31.5">
      <c r="A508" s="136" t="s">
        <v>2551</v>
      </c>
      <c r="B508" s="137" t="s">
        <v>2554</v>
      </c>
      <c r="C508" s="138" t="s">
        <v>859</v>
      </c>
      <c r="D508" s="138" t="s">
        <v>811</v>
      </c>
      <c r="E508" s="136" t="s">
        <v>1571</v>
      </c>
      <c r="F508" s="419">
        <v>43100</v>
      </c>
      <c r="G508" s="140">
        <v>1495.6596999999999</v>
      </c>
      <c r="H508" s="140">
        <v>5</v>
      </c>
      <c r="I508" s="140">
        <v>36.330100000000002</v>
      </c>
      <c r="J508" s="140">
        <v>153.85093000000001</v>
      </c>
      <c r="K508" s="140">
        <v>198.99513000000002</v>
      </c>
      <c r="L508" s="140">
        <v>398.28285999999997</v>
      </c>
      <c r="M508" s="140">
        <v>3</v>
      </c>
      <c r="N508" s="140">
        <v>5</v>
      </c>
      <c r="O508" s="211">
        <f t="shared" si="15"/>
        <v>0.375</v>
      </c>
      <c r="P508" s="608">
        <v>198.99513000000002</v>
      </c>
      <c r="Q508" s="141">
        <f t="shared" si="16"/>
        <v>74.623173750000007</v>
      </c>
    </row>
    <row r="509" spans="1:17" ht="42">
      <c r="A509" s="138" t="s">
        <v>2553</v>
      </c>
      <c r="B509" s="135" t="s">
        <v>2556</v>
      </c>
      <c r="C509" s="136" t="s">
        <v>1183</v>
      </c>
      <c r="D509" s="136" t="s">
        <v>1184</v>
      </c>
      <c r="E509" s="138" t="s">
        <v>1571</v>
      </c>
      <c r="F509" s="420">
        <v>43100</v>
      </c>
      <c r="G509" s="141">
        <v>1492.3694499999999</v>
      </c>
      <c r="H509" s="141">
        <v>4</v>
      </c>
      <c r="I509" s="141"/>
      <c r="J509" s="141">
        <v>14.442080000000001</v>
      </c>
      <c r="K509" s="141">
        <v>232.83846</v>
      </c>
      <c r="L509" s="141">
        <v>261.55928</v>
      </c>
      <c r="M509" s="142" t="s">
        <v>189</v>
      </c>
      <c r="N509" s="142" t="s">
        <v>189</v>
      </c>
      <c r="P509" s="610">
        <v>232.83846</v>
      </c>
      <c r="Q509" s="141">
        <f t="shared" si="16"/>
        <v>0</v>
      </c>
    </row>
    <row r="510" spans="1:17" ht="42">
      <c r="A510" s="136" t="s">
        <v>2555</v>
      </c>
      <c r="B510" s="137" t="s">
        <v>2558</v>
      </c>
      <c r="C510" s="138" t="s">
        <v>1529</v>
      </c>
      <c r="D510" s="138" t="s">
        <v>1343</v>
      </c>
      <c r="E510" s="136" t="s">
        <v>1571</v>
      </c>
      <c r="F510" s="419">
        <v>43100</v>
      </c>
      <c r="G510" s="140">
        <v>1489.4792500000001</v>
      </c>
      <c r="H510" s="140">
        <v>11</v>
      </c>
      <c r="I510" s="140">
        <v>2.2688500000000005</v>
      </c>
      <c r="J510" s="140">
        <v>90.961010000000002</v>
      </c>
      <c r="K510" s="140">
        <v>489.68652000000003</v>
      </c>
      <c r="L510" s="140">
        <v>656.24596999999994</v>
      </c>
      <c r="M510" s="143" t="s">
        <v>189</v>
      </c>
      <c r="N510" s="143" t="s">
        <v>189</v>
      </c>
      <c r="P510" s="608">
        <v>489.68652000000003</v>
      </c>
      <c r="Q510" s="141">
        <f t="shared" si="16"/>
        <v>0</v>
      </c>
    </row>
    <row r="511" spans="1:17" ht="31.5">
      <c r="A511" s="138" t="s">
        <v>2557</v>
      </c>
      <c r="B511" s="135" t="s">
        <v>2560</v>
      </c>
      <c r="C511" s="136" t="s">
        <v>1364</v>
      </c>
      <c r="D511" s="136" t="s">
        <v>1366</v>
      </c>
      <c r="E511" s="138" t="s">
        <v>1571</v>
      </c>
      <c r="F511" s="420">
        <v>43100</v>
      </c>
      <c r="G511" s="141">
        <v>1476.36491</v>
      </c>
      <c r="H511" s="141">
        <v>14</v>
      </c>
      <c r="I511" s="142" t="s">
        <v>189</v>
      </c>
      <c r="J511" s="141">
        <v>45.24568</v>
      </c>
      <c r="K511" s="141">
        <v>574.44771000000003</v>
      </c>
      <c r="L511" s="141">
        <v>630.39102000000003</v>
      </c>
      <c r="M511" s="142" t="s">
        <v>189</v>
      </c>
      <c r="N511" s="142" t="s">
        <v>189</v>
      </c>
      <c r="P511" s="610">
        <v>574.44771000000003</v>
      </c>
      <c r="Q511" s="141">
        <f t="shared" si="16"/>
        <v>0</v>
      </c>
    </row>
    <row r="512" spans="1:17" ht="42">
      <c r="A512" s="136" t="s">
        <v>2559</v>
      </c>
      <c r="B512" s="137" t="s">
        <v>2562</v>
      </c>
      <c r="C512" s="138" t="s">
        <v>1144</v>
      </c>
      <c r="D512" s="138" t="s">
        <v>1142</v>
      </c>
      <c r="E512" s="136" t="s">
        <v>1571</v>
      </c>
      <c r="F512" s="419">
        <v>43100</v>
      </c>
      <c r="G512" s="140">
        <v>1457.5846700000002</v>
      </c>
      <c r="H512" s="140">
        <v>7</v>
      </c>
      <c r="I512" s="140">
        <v>60.9146</v>
      </c>
      <c r="J512" s="140">
        <v>185.99681999999999</v>
      </c>
      <c r="K512" s="140">
        <v>233.11068</v>
      </c>
      <c r="L512" s="140">
        <v>623.98332000000005</v>
      </c>
      <c r="M512" s="143" t="s">
        <v>189</v>
      </c>
      <c r="N512" s="143" t="s">
        <v>189</v>
      </c>
      <c r="P512" s="608">
        <v>233.11068</v>
      </c>
      <c r="Q512" s="141">
        <f t="shared" si="16"/>
        <v>0</v>
      </c>
    </row>
    <row r="513" spans="1:17" ht="21">
      <c r="A513" s="138" t="s">
        <v>2561</v>
      </c>
      <c r="B513" s="135" t="s">
        <v>2564</v>
      </c>
      <c r="C513" s="136" t="s">
        <v>633</v>
      </c>
      <c r="D513" s="136" t="s">
        <v>1825</v>
      </c>
      <c r="E513" s="138" t="s">
        <v>1571</v>
      </c>
      <c r="F513" s="420">
        <v>43100</v>
      </c>
      <c r="G513" s="141">
        <v>1436.3003690000003</v>
      </c>
      <c r="H513" s="141">
        <v>10</v>
      </c>
      <c r="I513" s="141">
        <v>4.6194499999999996</v>
      </c>
      <c r="J513" s="141">
        <v>16.4922</v>
      </c>
      <c r="K513" s="141">
        <v>254.86860000000001</v>
      </c>
      <c r="L513" s="141">
        <v>282.64272000000005</v>
      </c>
      <c r="M513" s="142" t="s">
        <v>189</v>
      </c>
      <c r="N513" s="142" t="s">
        <v>189</v>
      </c>
      <c r="P513" s="610">
        <v>254.86860000000001</v>
      </c>
      <c r="Q513" s="141">
        <f t="shared" si="16"/>
        <v>0</v>
      </c>
    </row>
    <row r="514" spans="1:17" ht="31.5">
      <c r="A514" s="136" t="s">
        <v>2563</v>
      </c>
      <c r="B514" s="137" t="s">
        <v>2566</v>
      </c>
      <c r="C514" s="138" t="s">
        <v>1201</v>
      </c>
      <c r="D514" s="138" t="s">
        <v>1184</v>
      </c>
      <c r="E514" s="136" t="s">
        <v>1571</v>
      </c>
      <c r="F514" s="419">
        <v>43100</v>
      </c>
      <c r="G514" s="140">
        <v>1428.2598500000001</v>
      </c>
      <c r="H514" s="140">
        <v>17</v>
      </c>
      <c r="I514" s="143" t="s">
        <v>189</v>
      </c>
      <c r="J514" s="140">
        <v>28.419700000000002</v>
      </c>
      <c r="K514" s="140">
        <v>552.62464</v>
      </c>
      <c r="L514" s="140">
        <v>666.04486900000006</v>
      </c>
      <c r="M514" s="140">
        <v>6.14</v>
      </c>
      <c r="N514" s="140">
        <v>14.92</v>
      </c>
      <c r="O514" s="211">
        <f t="shared" si="15"/>
        <v>0.29154795821462487</v>
      </c>
      <c r="P514" s="608">
        <v>552.62464</v>
      </c>
      <c r="Q514" s="141">
        <f t="shared" si="16"/>
        <v>161.11658545109211</v>
      </c>
    </row>
    <row r="515" spans="1:17">
      <c r="A515" s="138" t="s">
        <v>2565</v>
      </c>
      <c r="B515" s="135" t="s">
        <v>2568</v>
      </c>
      <c r="C515" s="136" t="s">
        <v>609</v>
      </c>
      <c r="D515" s="136" t="s">
        <v>596</v>
      </c>
      <c r="E515" s="138" t="s">
        <v>1571</v>
      </c>
      <c r="F515" s="420">
        <v>43100</v>
      </c>
      <c r="G515" s="141">
        <v>1411.3132900000001</v>
      </c>
      <c r="H515" s="141">
        <v>12</v>
      </c>
      <c r="I515" s="141">
        <v>27.1312</v>
      </c>
      <c r="J515" s="141">
        <v>81.241690000000006</v>
      </c>
      <c r="K515" s="141">
        <v>371.13196000000005</v>
      </c>
      <c r="L515" s="141">
        <v>580.42456000000004</v>
      </c>
      <c r="M515" s="142" t="s">
        <v>189</v>
      </c>
      <c r="N515" s="142" t="s">
        <v>189</v>
      </c>
      <c r="P515" s="610">
        <v>371.13196000000005</v>
      </c>
      <c r="Q515" s="141">
        <f t="shared" si="16"/>
        <v>0</v>
      </c>
    </row>
    <row r="516" spans="1:17" ht="21">
      <c r="A516" s="136" t="s">
        <v>2567</v>
      </c>
      <c r="B516" s="137" t="s">
        <v>2570</v>
      </c>
      <c r="C516" s="138" t="s">
        <v>1219</v>
      </c>
      <c r="D516" s="138" t="s">
        <v>1215</v>
      </c>
      <c r="E516" s="136" t="s">
        <v>1571</v>
      </c>
      <c r="F516" s="419">
        <v>43100</v>
      </c>
      <c r="G516" s="140">
        <v>1401.2591900000002</v>
      </c>
      <c r="H516" s="140">
        <v>9</v>
      </c>
      <c r="I516" s="140">
        <v>9.43628</v>
      </c>
      <c r="J516" s="140">
        <v>86.591380000000001</v>
      </c>
      <c r="K516" s="140">
        <v>292.31759000000005</v>
      </c>
      <c r="L516" s="140">
        <v>407.34562</v>
      </c>
      <c r="M516" s="143" t="s">
        <v>189</v>
      </c>
      <c r="N516" s="143" t="s">
        <v>189</v>
      </c>
      <c r="P516" s="608">
        <v>292.31759000000005</v>
      </c>
      <c r="Q516" s="141">
        <f t="shared" si="16"/>
        <v>0</v>
      </c>
    </row>
    <row r="517" spans="1:17" ht="21">
      <c r="A517" s="138" t="s">
        <v>2569</v>
      </c>
      <c r="B517" s="135" t="s">
        <v>2572</v>
      </c>
      <c r="C517" s="136" t="s">
        <v>1362</v>
      </c>
      <c r="D517" s="136" t="s">
        <v>1366</v>
      </c>
      <c r="E517" s="138" t="s">
        <v>1571</v>
      </c>
      <c r="F517" s="420">
        <v>43100</v>
      </c>
      <c r="G517" s="141">
        <v>1392.7993000000001</v>
      </c>
      <c r="H517" s="141">
        <v>8</v>
      </c>
      <c r="I517" s="141">
        <v>20.165710000000001</v>
      </c>
      <c r="J517" s="141">
        <v>84.864039999999989</v>
      </c>
      <c r="K517" s="141">
        <v>253.96432999999999</v>
      </c>
      <c r="L517" s="141">
        <v>397.41243000000009</v>
      </c>
      <c r="M517" s="142" t="s">
        <v>189</v>
      </c>
      <c r="N517" s="142" t="s">
        <v>189</v>
      </c>
      <c r="P517" s="610">
        <v>253.96432999999999</v>
      </c>
      <c r="Q517" s="141">
        <f t="shared" si="16"/>
        <v>0</v>
      </c>
    </row>
    <row r="518" spans="1:17" ht="21">
      <c r="A518" s="136" t="s">
        <v>2571</v>
      </c>
      <c r="B518" s="137" t="s">
        <v>2574</v>
      </c>
      <c r="C518" s="138" t="s">
        <v>598</v>
      </c>
      <c r="D518" s="138" t="s">
        <v>596</v>
      </c>
      <c r="E518" s="136" t="s">
        <v>1571</v>
      </c>
      <c r="F518" s="419">
        <v>43100</v>
      </c>
      <c r="G518" s="140">
        <v>1376.9614799999999</v>
      </c>
      <c r="H518" s="140">
        <v>13</v>
      </c>
      <c r="I518" s="140">
        <v>-28.62968</v>
      </c>
      <c r="J518" s="140">
        <v>-34.033560000000001</v>
      </c>
      <c r="K518" s="140">
        <v>406.04111</v>
      </c>
      <c r="L518" s="140">
        <v>391.93064899999996</v>
      </c>
      <c r="M518" s="143" t="s">
        <v>189</v>
      </c>
      <c r="N518" s="143" t="s">
        <v>189</v>
      </c>
      <c r="P518" s="608">
        <v>406.04111</v>
      </c>
      <c r="Q518" s="141">
        <f t="shared" si="16"/>
        <v>0</v>
      </c>
    </row>
    <row r="519" spans="1:17" ht="21">
      <c r="A519" s="138" t="s">
        <v>2573</v>
      </c>
      <c r="B519" s="135" t="s">
        <v>2576</v>
      </c>
      <c r="C519" s="136" t="s">
        <v>1253</v>
      </c>
      <c r="D519" s="136" t="s">
        <v>1266</v>
      </c>
      <c r="E519" s="138" t="s">
        <v>1571</v>
      </c>
      <c r="F519" s="420">
        <v>43100</v>
      </c>
      <c r="G519" s="141">
        <v>1375.2541900000001</v>
      </c>
      <c r="H519" s="141">
        <v>21</v>
      </c>
      <c r="I519" s="142" t="s">
        <v>189</v>
      </c>
      <c r="J519" s="141">
        <v>56.946530000000003</v>
      </c>
      <c r="K519" s="141">
        <v>761.24535000000014</v>
      </c>
      <c r="L519" s="141">
        <v>858.7654</v>
      </c>
      <c r="M519" s="142" t="s">
        <v>189</v>
      </c>
      <c r="N519" s="142" t="s">
        <v>189</v>
      </c>
      <c r="P519" s="610">
        <v>761.24535000000014</v>
      </c>
      <c r="Q519" s="141">
        <f t="shared" si="16"/>
        <v>0</v>
      </c>
    </row>
    <row r="520" spans="1:17">
      <c r="A520" s="136" t="s">
        <v>2575</v>
      </c>
      <c r="B520" s="137" t="s">
        <v>2578</v>
      </c>
      <c r="C520" s="138" t="s">
        <v>836</v>
      </c>
      <c r="D520" s="138" t="s">
        <v>811</v>
      </c>
      <c r="E520" s="136" t="s">
        <v>1571</v>
      </c>
      <c r="F520" s="419">
        <v>43100</v>
      </c>
      <c r="G520" s="140">
        <v>1372.6367</v>
      </c>
      <c r="H520" s="140">
        <v>16</v>
      </c>
      <c r="I520" s="140">
        <v>-2.8512</v>
      </c>
      <c r="J520" s="140">
        <v>69.313500000000005</v>
      </c>
      <c r="K520" s="140">
        <v>564.73786000000007</v>
      </c>
      <c r="L520" s="140">
        <v>739.50117999999998</v>
      </c>
      <c r="M520" s="143" t="s">
        <v>189</v>
      </c>
      <c r="N520" s="143" t="s">
        <v>189</v>
      </c>
      <c r="P520" s="608">
        <v>564.73786000000007</v>
      </c>
      <c r="Q520" s="141">
        <f t="shared" si="16"/>
        <v>0</v>
      </c>
    </row>
    <row r="521" spans="1:17">
      <c r="A521" s="138" t="s">
        <v>2577</v>
      </c>
      <c r="B521" s="135" t="s">
        <v>2580</v>
      </c>
      <c r="C521" s="136" t="s">
        <v>1111</v>
      </c>
      <c r="D521" s="136" t="s">
        <v>1112</v>
      </c>
      <c r="E521" s="138" t="s">
        <v>1571</v>
      </c>
      <c r="F521" s="420">
        <v>43100</v>
      </c>
      <c r="G521" s="141">
        <v>1370.9839400000001</v>
      </c>
      <c r="H521" s="141">
        <v>8</v>
      </c>
      <c r="I521" s="141">
        <v>2.6227499999999999</v>
      </c>
      <c r="J521" s="141">
        <v>22.213880000000003</v>
      </c>
      <c r="K521" s="141">
        <v>238.40719000000001</v>
      </c>
      <c r="L521" s="141">
        <v>279.62829000000005</v>
      </c>
      <c r="M521" s="142" t="s">
        <v>189</v>
      </c>
      <c r="N521" s="142" t="s">
        <v>189</v>
      </c>
      <c r="P521" s="610">
        <v>238.40719000000001</v>
      </c>
      <c r="Q521" s="141">
        <f t="shared" si="16"/>
        <v>0</v>
      </c>
    </row>
    <row r="522" spans="1:17" ht="42">
      <c r="A522" s="136" t="s">
        <v>2579</v>
      </c>
      <c r="B522" s="137" t="s">
        <v>2582</v>
      </c>
      <c r="C522" s="138" t="s">
        <v>1485</v>
      </c>
      <c r="D522" s="138" t="s">
        <v>1474</v>
      </c>
      <c r="E522" s="136" t="s">
        <v>1571</v>
      </c>
      <c r="F522" s="419">
        <v>43100</v>
      </c>
      <c r="G522" s="140">
        <v>1368.4251900000002</v>
      </c>
      <c r="H522" s="140">
        <v>13</v>
      </c>
      <c r="I522" s="140">
        <v>7.5756600000000009</v>
      </c>
      <c r="J522" s="140">
        <v>103.79495999999999</v>
      </c>
      <c r="K522" s="140">
        <v>432.52906000000002</v>
      </c>
      <c r="L522" s="140">
        <v>548.42908999999997</v>
      </c>
      <c r="M522" s="140">
        <v>4</v>
      </c>
      <c r="N522" s="140">
        <v>7</v>
      </c>
      <c r="O522" s="211">
        <f t="shared" si="15"/>
        <v>0.36363636363636365</v>
      </c>
      <c r="P522" s="608">
        <v>432.52906000000002</v>
      </c>
      <c r="Q522" s="141">
        <f t="shared" si="16"/>
        <v>157.28329454545457</v>
      </c>
    </row>
    <row r="523" spans="1:17" ht="21">
      <c r="A523" s="138" t="s">
        <v>2581</v>
      </c>
      <c r="B523" s="135" t="s">
        <v>2584</v>
      </c>
      <c r="C523" s="136" t="s">
        <v>1022</v>
      </c>
      <c r="D523" s="136" t="s">
        <v>1023</v>
      </c>
      <c r="E523" s="138" t="s">
        <v>1571</v>
      </c>
      <c r="F523" s="420">
        <v>43100</v>
      </c>
      <c r="G523" s="141">
        <v>1367.2859699999999</v>
      </c>
      <c r="H523" s="141">
        <v>10</v>
      </c>
      <c r="I523" s="142" t="s">
        <v>189</v>
      </c>
      <c r="J523" s="141">
        <v>109.05620999999999</v>
      </c>
      <c r="K523" s="141">
        <v>481.72596000000004</v>
      </c>
      <c r="L523" s="141">
        <v>616.82456000000002</v>
      </c>
      <c r="M523" s="141">
        <v>12</v>
      </c>
      <c r="N523" s="141">
        <v>9</v>
      </c>
      <c r="O523" s="211">
        <f t="shared" si="15"/>
        <v>0.5714285714285714</v>
      </c>
      <c r="P523" s="610">
        <v>481.72596000000004</v>
      </c>
      <c r="Q523" s="141">
        <f t="shared" si="16"/>
        <v>275.27197714285717</v>
      </c>
    </row>
    <row r="524" spans="1:17" ht="21">
      <c r="A524" s="136" t="s">
        <v>2583</v>
      </c>
      <c r="B524" s="139" t="s">
        <v>2586</v>
      </c>
      <c r="C524" s="138" t="s">
        <v>607</v>
      </c>
      <c r="D524" s="138" t="s">
        <v>596</v>
      </c>
      <c r="E524" s="136" t="s">
        <v>1571</v>
      </c>
      <c r="F524" s="419">
        <v>43100</v>
      </c>
      <c r="G524" s="140">
        <v>1366.20029</v>
      </c>
      <c r="H524" s="140">
        <v>9</v>
      </c>
      <c r="I524" s="140">
        <v>6.5928000000000004</v>
      </c>
      <c r="J524" s="140">
        <v>114.28256</v>
      </c>
      <c r="K524" s="140">
        <v>447.55051000000003</v>
      </c>
      <c r="L524" s="140">
        <v>570.19013000000007</v>
      </c>
      <c r="M524" s="143" t="s">
        <v>189</v>
      </c>
      <c r="N524" s="143" t="s">
        <v>189</v>
      </c>
      <c r="P524" s="608">
        <v>447.55051000000003</v>
      </c>
      <c r="Q524" s="141">
        <f t="shared" si="16"/>
        <v>0</v>
      </c>
    </row>
    <row r="525" spans="1:17">
      <c r="A525" s="138" t="s">
        <v>2585</v>
      </c>
      <c r="B525" s="135" t="s">
        <v>2588</v>
      </c>
      <c r="C525" s="136" t="s">
        <v>616</v>
      </c>
      <c r="D525" s="136" t="s">
        <v>596</v>
      </c>
      <c r="E525" s="138" t="s">
        <v>1571</v>
      </c>
      <c r="F525" s="420">
        <v>42004</v>
      </c>
      <c r="G525" s="141">
        <v>1355.9372800000001</v>
      </c>
      <c r="H525" s="141">
        <v>23</v>
      </c>
      <c r="I525" s="141"/>
      <c r="J525" s="141">
        <v>-39.968919999999997</v>
      </c>
      <c r="K525" s="141">
        <v>682.38814000000002</v>
      </c>
      <c r="L525" s="141">
        <v>705.90416900000002</v>
      </c>
      <c r="M525" s="142" t="s">
        <v>189</v>
      </c>
      <c r="N525" s="142" t="s">
        <v>189</v>
      </c>
      <c r="P525" s="610">
        <v>682.38814000000002</v>
      </c>
      <c r="Q525" s="141">
        <f t="shared" si="16"/>
        <v>0</v>
      </c>
    </row>
    <row r="526" spans="1:17">
      <c r="A526" s="136" t="s">
        <v>2587</v>
      </c>
      <c r="B526" s="137" t="s">
        <v>2590</v>
      </c>
      <c r="C526" s="138" t="s">
        <v>1048</v>
      </c>
      <c r="D526" s="138" t="s">
        <v>971</v>
      </c>
      <c r="E526" s="136" t="s">
        <v>1571</v>
      </c>
      <c r="F526" s="419">
        <v>43100</v>
      </c>
      <c r="G526" s="140">
        <v>1350.3377700000001</v>
      </c>
      <c r="H526" s="140">
        <v>4</v>
      </c>
      <c r="I526" s="140"/>
      <c r="J526" s="140">
        <v>13.655250000000001</v>
      </c>
      <c r="K526" s="140">
        <v>190.96357999999998</v>
      </c>
      <c r="L526" s="140">
        <v>228.2645</v>
      </c>
      <c r="M526" s="143" t="s">
        <v>189</v>
      </c>
      <c r="N526" s="143" t="s">
        <v>189</v>
      </c>
      <c r="P526" s="608">
        <v>190.96357999999998</v>
      </c>
      <c r="Q526" s="141">
        <f t="shared" si="16"/>
        <v>0</v>
      </c>
    </row>
    <row r="527" spans="1:17" ht="21">
      <c r="A527" s="138" t="s">
        <v>2589</v>
      </c>
      <c r="B527" s="135" t="s">
        <v>2592</v>
      </c>
      <c r="C527" s="136" t="s">
        <v>1528</v>
      </c>
      <c r="D527" s="136" t="s">
        <v>811</v>
      </c>
      <c r="E527" s="138" t="s">
        <v>1571</v>
      </c>
      <c r="F527" s="420">
        <v>42735</v>
      </c>
      <c r="G527" s="141">
        <v>1349.69928</v>
      </c>
      <c r="H527" s="141">
        <v>5</v>
      </c>
      <c r="I527" s="141"/>
      <c r="J527" s="141">
        <v>-236.30001999999999</v>
      </c>
      <c r="K527" s="141">
        <v>189.7534</v>
      </c>
      <c r="L527" s="141">
        <v>-65.415649000000002</v>
      </c>
      <c r="M527" s="142" t="s">
        <v>189</v>
      </c>
      <c r="N527" s="142" t="s">
        <v>189</v>
      </c>
      <c r="P527" s="610">
        <v>189.7534</v>
      </c>
      <c r="Q527" s="141">
        <f t="shared" si="16"/>
        <v>0</v>
      </c>
    </row>
    <row r="528" spans="1:17" ht="31.5">
      <c r="A528" s="136" t="s">
        <v>2591</v>
      </c>
      <c r="B528" s="137" t="s">
        <v>2594</v>
      </c>
      <c r="C528" s="138" t="s">
        <v>1554</v>
      </c>
      <c r="D528" s="138" t="s">
        <v>1279</v>
      </c>
      <c r="E528" s="136" t="s">
        <v>1571</v>
      </c>
      <c r="F528" s="419">
        <v>43100</v>
      </c>
      <c r="G528" s="140">
        <v>1343.17391</v>
      </c>
      <c r="H528" s="140">
        <v>11</v>
      </c>
      <c r="I528" s="140">
        <v>27.385649999999998</v>
      </c>
      <c r="J528" s="140">
        <v>114.51526</v>
      </c>
      <c r="K528" s="140">
        <v>428.03575000000001</v>
      </c>
      <c r="L528" s="140">
        <v>590.7988600000001</v>
      </c>
      <c r="M528" s="143" t="s">
        <v>189</v>
      </c>
      <c r="N528" s="140">
        <v>5</v>
      </c>
      <c r="P528" s="608">
        <v>428.03575000000001</v>
      </c>
      <c r="Q528" s="141">
        <f t="shared" si="16"/>
        <v>0</v>
      </c>
    </row>
    <row r="529" spans="1:17" ht="31.5">
      <c r="A529" s="138" t="s">
        <v>2593</v>
      </c>
      <c r="B529" s="135" t="s">
        <v>2596</v>
      </c>
      <c r="C529" s="136" t="s">
        <v>646</v>
      </c>
      <c r="D529" s="136" t="s">
        <v>647</v>
      </c>
      <c r="E529" s="138" t="s">
        <v>1571</v>
      </c>
      <c r="F529" s="420">
        <v>43100</v>
      </c>
      <c r="G529" s="141">
        <v>1331.38355</v>
      </c>
      <c r="H529" s="141">
        <v>21</v>
      </c>
      <c r="I529" s="142" t="s">
        <v>189</v>
      </c>
      <c r="J529" s="141">
        <v>51.787289999999992</v>
      </c>
      <c r="K529" s="141">
        <v>681.58481000000006</v>
      </c>
      <c r="L529" s="141">
        <v>740.66548999999998</v>
      </c>
      <c r="M529" s="141">
        <v>1</v>
      </c>
      <c r="N529" s="141">
        <v>12</v>
      </c>
      <c r="O529" s="211">
        <f t="shared" si="15"/>
        <v>7.6923076923076927E-2</v>
      </c>
      <c r="P529" s="610">
        <v>681.58481000000006</v>
      </c>
      <c r="Q529" s="141">
        <f t="shared" si="16"/>
        <v>52.429600769230774</v>
      </c>
    </row>
    <row r="530" spans="1:17" ht="31.5">
      <c r="A530" s="136" t="s">
        <v>2595</v>
      </c>
      <c r="B530" s="137" t="s">
        <v>2598</v>
      </c>
      <c r="C530" s="138" t="s">
        <v>1296</v>
      </c>
      <c r="D530" s="138" t="s">
        <v>1266</v>
      </c>
      <c r="E530" s="136" t="s">
        <v>1571</v>
      </c>
      <c r="F530" s="419">
        <v>43100</v>
      </c>
      <c r="G530" s="140">
        <v>1328.8953900000001</v>
      </c>
      <c r="H530" s="140">
        <v>3</v>
      </c>
      <c r="I530" s="140">
        <v>6.1347299999999994</v>
      </c>
      <c r="J530" s="140">
        <v>51.959319999999998</v>
      </c>
      <c r="K530" s="140">
        <v>82.304029999999997</v>
      </c>
      <c r="L530" s="140">
        <v>207.62532999999999</v>
      </c>
      <c r="M530" s="143" t="s">
        <v>189</v>
      </c>
      <c r="N530" s="143" t="s">
        <v>189</v>
      </c>
      <c r="P530" s="608">
        <v>82.304029999999997</v>
      </c>
      <c r="Q530" s="141">
        <f t="shared" si="16"/>
        <v>0</v>
      </c>
    </row>
    <row r="531" spans="1:17" ht="42">
      <c r="A531" s="138" t="s">
        <v>2597</v>
      </c>
      <c r="B531" s="135" t="s">
        <v>2600</v>
      </c>
      <c r="C531" s="136" t="s">
        <v>1273</v>
      </c>
      <c r="D531" s="136" t="s">
        <v>1266</v>
      </c>
      <c r="E531" s="138" t="s">
        <v>1571</v>
      </c>
      <c r="F531" s="420">
        <v>43100</v>
      </c>
      <c r="G531" s="141">
        <v>1322.9138190000001</v>
      </c>
      <c r="H531" s="141">
        <v>4</v>
      </c>
      <c r="I531" s="141">
        <v>8.02041</v>
      </c>
      <c r="J531" s="141">
        <v>41.798819999999999</v>
      </c>
      <c r="K531" s="141">
        <v>190.76929000000001</v>
      </c>
      <c r="L531" s="141">
        <v>267.40733999999998</v>
      </c>
      <c r="M531" s="141">
        <v>3</v>
      </c>
      <c r="N531" s="141">
        <v>7</v>
      </c>
      <c r="O531" s="211">
        <f t="shared" si="15"/>
        <v>0.3</v>
      </c>
      <c r="P531" s="610">
        <v>190.76929000000001</v>
      </c>
      <c r="Q531" s="141">
        <f t="shared" si="16"/>
        <v>57.230786999999999</v>
      </c>
    </row>
    <row r="532" spans="1:17" ht="31.5">
      <c r="A532" s="136" t="s">
        <v>2599</v>
      </c>
      <c r="B532" s="137" t="s">
        <v>2602</v>
      </c>
      <c r="C532" s="138" t="s">
        <v>1425</v>
      </c>
      <c r="D532" s="138" t="s">
        <v>1419</v>
      </c>
      <c r="E532" s="136" t="s">
        <v>1571</v>
      </c>
      <c r="F532" s="419">
        <v>43100</v>
      </c>
      <c r="G532" s="140">
        <v>1319.16579</v>
      </c>
      <c r="H532" s="140">
        <v>3</v>
      </c>
      <c r="I532" s="140">
        <v>7.0319200000000004</v>
      </c>
      <c r="J532" s="140">
        <v>29.592639999999999</v>
      </c>
      <c r="K532" s="140">
        <v>315.54263000000003</v>
      </c>
      <c r="L532" s="140">
        <v>355.15146000000004</v>
      </c>
      <c r="M532" s="143" t="s">
        <v>189</v>
      </c>
      <c r="N532" s="143" t="s">
        <v>189</v>
      </c>
      <c r="P532" s="608">
        <v>315.54263000000003</v>
      </c>
      <c r="Q532" s="141">
        <f t="shared" si="16"/>
        <v>0</v>
      </c>
    </row>
    <row r="533" spans="1:17" ht="21">
      <c r="A533" s="138" t="s">
        <v>2601</v>
      </c>
      <c r="B533" s="135" t="s">
        <v>2604</v>
      </c>
      <c r="C533" s="136" t="s">
        <v>1247</v>
      </c>
      <c r="D533" s="136" t="s">
        <v>1235</v>
      </c>
      <c r="E533" s="138" t="s">
        <v>1571</v>
      </c>
      <c r="F533" s="420">
        <v>43100</v>
      </c>
      <c r="G533" s="141">
        <v>1318.7321400000001</v>
      </c>
      <c r="H533" s="141">
        <v>8</v>
      </c>
      <c r="I533" s="141">
        <v>5.56968</v>
      </c>
      <c r="J533" s="141">
        <v>23.439049999999998</v>
      </c>
      <c r="K533" s="141">
        <v>240.20604</v>
      </c>
      <c r="L533" s="141">
        <v>269.64964999999995</v>
      </c>
      <c r="M533" s="142" t="s">
        <v>189</v>
      </c>
      <c r="N533" s="142" t="s">
        <v>189</v>
      </c>
      <c r="P533" s="610">
        <v>240.20604</v>
      </c>
      <c r="Q533" s="141">
        <f t="shared" si="16"/>
        <v>0</v>
      </c>
    </row>
    <row r="534" spans="1:17" ht="21">
      <c r="A534" s="136" t="s">
        <v>2603</v>
      </c>
      <c r="B534" s="137" t="s">
        <v>2606</v>
      </c>
      <c r="C534" s="138" t="s">
        <v>1016</v>
      </c>
      <c r="D534" s="138" t="s">
        <v>1013</v>
      </c>
      <c r="E534" s="136" t="s">
        <v>1571</v>
      </c>
      <c r="F534" s="419">
        <v>42735</v>
      </c>
      <c r="G534" s="140">
        <v>1316.5139799999999</v>
      </c>
      <c r="H534" s="140">
        <v>5</v>
      </c>
      <c r="I534" s="143" t="s">
        <v>189</v>
      </c>
      <c r="J534" s="140">
        <v>3.2753500000000004</v>
      </c>
      <c r="K534" s="140">
        <v>251.78594000000001</v>
      </c>
      <c r="L534" s="140">
        <v>257.39078000000001</v>
      </c>
      <c r="M534" s="140">
        <v>1</v>
      </c>
      <c r="N534" s="140">
        <v>8</v>
      </c>
      <c r="O534" s="211">
        <f t="shared" si="15"/>
        <v>0.1111111111111111</v>
      </c>
      <c r="P534" s="608">
        <v>251.78594000000001</v>
      </c>
      <c r="Q534" s="141">
        <f t="shared" si="16"/>
        <v>27.976215555555555</v>
      </c>
    </row>
    <row r="535" spans="1:17" ht="42">
      <c r="A535" s="138" t="s">
        <v>2605</v>
      </c>
      <c r="B535" s="135" t="s">
        <v>2608</v>
      </c>
      <c r="C535" s="136" t="s">
        <v>1124</v>
      </c>
      <c r="D535" s="136" t="s">
        <v>1112</v>
      </c>
      <c r="E535" s="138" t="s">
        <v>1571</v>
      </c>
      <c r="F535" s="420">
        <v>43100</v>
      </c>
      <c r="G535" s="141">
        <v>1314.1219599999999</v>
      </c>
      <c r="H535" s="141">
        <v>13</v>
      </c>
      <c r="I535" s="141">
        <v>31.332700000000003</v>
      </c>
      <c r="J535" s="141">
        <v>83.027180000000016</v>
      </c>
      <c r="K535" s="141">
        <v>466.59268000000003</v>
      </c>
      <c r="L535" s="141">
        <v>620.39891</v>
      </c>
      <c r="M535" s="142" t="s">
        <v>189</v>
      </c>
      <c r="N535" s="142" t="s">
        <v>189</v>
      </c>
      <c r="P535" s="610">
        <v>466.59268000000003</v>
      </c>
      <c r="Q535" s="141">
        <f t="shared" si="16"/>
        <v>0</v>
      </c>
    </row>
    <row r="536" spans="1:17" ht="21">
      <c r="A536" s="136" t="s">
        <v>2607</v>
      </c>
      <c r="B536" s="137" t="s">
        <v>2610</v>
      </c>
      <c r="C536" s="138" t="s">
        <v>1350</v>
      </c>
      <c r="D536" s="138" t="s">
        <v>1341</v>
      </c>
      <c r="E536" s="136" t="s">
        <v>1571</v>
      </c>
      <c r="F536" s="419">
        <v>43100</v>
      </c>
      <c r="G536" s="140">
        <v>1310.3975700000001</v>
      </c>
      <c r="H536" s="140">
        <v>4</v>
      </c>
      <c r="I536" s="140">
        <v>5.2230500000000006</v>
      </c>
      <c r="J536" s="140">
        <v>16.539649999999998</v>
      </c>
      <c r="K536" s="140">
        <v>160.69522000000001</v>
      </c>
      <c r="L536" s="140">
        <v>188.84148999999999</v>
      </c>
      <c r="M536" s="143" t="s">
        <v>189</v>
      </c>
      <c r="N536" s="143" t="s">
        <v>189</v>
      </c>
      <c r="P536" s="608">
        <v>160.69522000000001</v>
      </c>
      <c r="Q536" s="141">
        <f t="shared" si="16"/>
        <v>0</v>
      </c>
    </row>
    <row r="537" spans="1:17" ht="21">
      <c r="A537" s="138" t="s">
        <v>2609</v>
      </c>
      <c r="B537" s="135" t="s">
        <v>2612</v>
      </c>
      <c r="C537" s="136" t="s">
        <v>1422</v>
      </c>
      <c r="D537" s="136" t="s">
        <v>1419</v>
      </c>
      <c r="E537" s="138" t="s">
        <v>1571</v>
      </c>
      <c r="F537" s="420">
        <v>43100</v>
      </c>
      <c r="G537" s="141">
        <v>1299.4615200000001</v>
      </c>
      <c r="H537" s="141">
        <v>10</v>
      </c>
      <c r="I537" s="141">
        <v>8.166269999999999</v>
      </c>
      <c r="J537" s="141">
        <v>34.201289999999993</v>
      </c>
      <c r="K537" s="141">
        <v>346.28441000000004</v>
      </c>
      <c r="L537" s="141">
        <v>401.15454</v>
      </c>
      <c r="M537" s="142" t="s">
        <v>189</v>
      </c>
      <c r="N537" s="142" t="s">
        <v>189</v>
      </c>
      <c r="P537" s="610">
        <v>346.28441000000004</v>
      </c>
      <c r="Q537" s="141">
        <f t="shared" si="16"/>
        <v>0</v>
      </c>
    </row>
    <row r="538" spans="1:17" ht="21">
      <c r="A538" s="136" t="s">
        <v>2611</v>
      </c>
      <c r="B538" s="137" t="s">
        <v>2614</v>
      </c>
      <c r="C538" s="138" t="s">
        <v>844</v>
      </c>
      <c r="D538" s="138" t="s">
        <v>811</v>
      </c>
      <c r="E538" s="136" t="s">
        <v>1571</v>
      </c>
      <c r="F538" s="419">
        <v>43100</v>
      </c>
      <c r="G538" s="140">
        <v>1296.8765700000001</v>
      </c>
      <c r="H538" s="140">
        <v>18</v>
      </c>
      <c r="I538" s="143" t="s">
        <v>189</v>
      </c>
      <c r="J538" s="140">
        <v>-185.41854000000001</v>
      </c>
      <c r="K538" s="140">
        <v>632.0788500000001</v>
      </c>
      <c r="L538" s="140">
        <v>861.21851000000004</v>
      </c>
      <c r="M538" s="140">
        <v>1</v>
      </c>
      <c r="N538" s="140">
        <v>13</v>
      </c>
      <c r="O538" s="211">
        <f t="shared" si="15"/>
        <v>7.1428571428571425E-2</v>
      </c>
      <c r="P538" s="608">
        <v>632.0788500000001</v>
      </c>
      <c r="Q538" s="141">
        <f t="shared" si="16"/>
        <v>45.148489285714291</v>
      </c>
    </row>
    <row r="539" spans="1:17" ht="21">
      <c r="A539" s="138" t="s">
        <v>2613</v>
      </c>
      <c r="B539" s="135" t="s">
        <v>2616</v>
      </c>
      <c r="C539" s="136" t="s">
        <v>1045</v>
      </c>
      <c r="D539" s="136" t="s">
        <v>971</v>
      </c>
      <c r="E539" s="138" t="s">
        <v>1571</v>
      </c>
      <c r="F539" s="420">
        <v>43100</v>
      </c>
      <c r="G539" s="141">
        <v>1293.7667900000001</v>
      </c>
      <c r="H539" s="141">
        <v>9</v>
      </c>
      <c r="I539" s="141">
        <v>7.6667699999999996</v>
      </c>
      <c r="J539" s="141">
        <v>24.278099999999998</v>
      </c>
      <c r="K539" s="141">
        <v>324.98408000000001</v>
      </c>
      <c r="L539" s="141">
        <v>429.68394000000001</v>
      </c>
      <c r="M539" s="141">
        <v>2</v>
      </c>
      <c r="N539" s="141">
        <v>4</v>
      </c>
      <c r="O539" s="211">
        <f t="shared" si="15"/>
        <v>0.33333333333333331</v>
      </c>
      <c r="P539" s="610">
        <v>324.98408000000001</v>
      </c>
      <c r="Q539" s="141">
        <f t="shared" si="16"/>
        <v>108.32802666666666</v>
      </c>
    </row>
    <row r="540" spans="1:17" ht="21">
      <c r="A540" s="136" t="s">
        <v>2615</v>
      </c>
      <c r="B540" s="137" t="s">
        <v>2618</v>
      </c>
      <c r="C540" s="138" t="s">
        <v>1167</v>
      </c>
      <c r="D540" s="138" t="s">
        <v>1168</v>
      </c>
      <c r="E540" s="136" t="s">
        <v>1571</v>
      </c>
      <c r="F540" s="419">
        <v>43100</v>
      </c>
      <c r="G540" s="140">
        <v>1278.1953800000001</v>
      </c>
      <c r="H540" s="140">
        <v>16</v>
      </c>
      <c r="I540" s="140">
        <v>20.27955</v>
      </c>
      <c r="J540" s="140">
        <v>150.20042999999998</v>
      </c>
      <c r="K540" s="140">
        <v>450.17699000000005</v>
      </c>
      <c r="L540" s="140">
        <v>701.69889000000001</v>
      </c>
      <c r="M540" s="143" t="s">
        <v>189</v>
      </c>
      <c r="N540" s="143" t="s">
        <v>189</v>
      </c>
      <c r="P540" s="608">
        <v>450.17699000000005</v>
      </c>
      <c r="Q540" s="141">
        <f t="shared" si="16"/>
        <v>0</v>
      </c>
    </row>
    <row r="541" spans="1:17" ht="31.5">
      <c r="A541" s="138" t="s">
        <v>2617</v>
      </c>
      <c r="B541" s="135" t="s">
        <v>2620</v>
      </c>
      <c r="C541" s="136" t="s">
        <v>1275</v>
      </c>
      <c r="D541" s="136" t="s">
        <v>1266</v>
      </c>
      <c r="E541" s="138" t="s">
        <v>1571</v>
      </c>
      <c r="F541" s="420">
        <v>43100</v>
      </c>
      <c r="G541" s="141">
        <v>1267.8465690000003</v>
      </c>
      <c r="H541" s="141">
        <v>11</v>
      </c>
      <c r="I541" s="141">
        <v>21.714880000000001</v>
      </c>
      <c r="J541" s="141">
        <v>92.571180000000012</v>
      </c>
      <c r="K541" s="141">
        <v>436.70623000000006</v>
      </c>
      <c r="L541" s="141">
        <v>568.39828999999997</v>
      </c>
      <c r="M541" s="142" t="s">
        <v>189</v>
      </c>
      <c r="N541" s="142" t="s">
        <v>189</v>
      </c>
      <c r="P541" s="610">
        <v>436.70623000000006</v>
      </c>
      <c r="Q541" s="141">
        <f t="shared" si="16"/>
        <v>0</v>
      </c>
    </row>
    <row r="542" spans="1:17" ht="31.5">
      <c r="A542" s="136" t="s">
        <v>2619</v>
      </c>
      <c r="B542" s="137" t="s">
        <v>2622</v>
      </c>
      <c r="C542" s="138" t="s">
        <v>1202</v>
      </c>
      <c r="D542" s="138" t="s">
        <v>1203</v>
      </c>
      <c r="E542" s="136" t="s">
        <v>1571</v>
      </c>
      <c r="F542" s="419">
        <v>43100</v>
      </c>
      <c r="G542" s="140">
        <v>1261.0099499999999</v>
      </c>
      <c r="H542" s="140">
        <v>8</v>
      </c>
      <c r="I542" s="140">
        <v>3.5646800000000001</v>
      </c>
      <c r="J542" s="140">
        <v>15.001340000000001</v>
      </c>
      <c r="K542" s="140">
        <v>211.70320000000001</v>
      </c>
      <c r="L542" s="140">
        <v>338.65597000000002</v>
      </c>
      <c r="M542" s="143" t="s">
        <v>189</v>
      </c>
      <c r="N542" s="143" t="s">
        <v>189</v>
      </c>
      <c r="P542" s="608">
        <v>211.70320000000001</v>
      </c>
      <c r="Q542" s="141">
        <f t="shared" si="16"/>
        <v>0</v>
      </c>
    </row>
    <row r="543" spans="1:17" ht="21">
      <c r="A543" s="138" t="s">
        <v>2621</v>
      </c>
      <c r="B543" s="421" t="s">
        <v>2624</v>
      </c>
      <c r="C543" s="136" t="s">
        <v>605</v>
      </c>
      <c r="D543" s="136" t="s">
        <v>596</v>
      </c>
      <c r="E543" s="138" t="s">
        <v>1571</v>
      </c>
      <c r="F543" s="420">
        <v>43100</v>
      </c>
      <c r="G543" s="141">
        <v>1255.5210200000001</v>
      </c>
      <c r="H543" s="141">
        <v>12</v>
      </c>
      <c r="I543" s="141">
        <v>6.8787900000000004</v>
      </c>
      <c r="J543" s="141">
        <v>61.158269999999995</v>
      </c>
      <c r="K543" s="141">
        <v>638.3245300000001</v>
      </c>
      <c r="L543" s="141">
        <v>770.48937000000001</v>
      </c>
      <c r="M543" s="141">
        <v>1</v>
      </c>
      <c r="N543" s="141">
        <v>1</v>
      </c>
      <c r="O543" s="211">
        <f t="shared" ref="O543:O592" si="17">M543/(M543+N543)</f>
        <v>0.5</v>
      </c>
      <c r="P543" s="610">
        <v>638.3245300000001</v>
      </c>
      <c r="Q543" s="141">
        <f t="shared" si="16"/>
        <v>319.16226500000005</v>
      </c>
    </row>
    <row r="544" spans="1:17" ht="52.5">
      <c r="A544" s="136" t="s">
        <v>2623</v>
      </c>
      <c r="B544" s="137" t="s">
        <v>2626</v>
      </c>
      <c r="C544" s="138" t="s">
        <v>1292</v>
      </c>
      <c r="D544" s="138" t="s">
        <v>1266</v>
      </c>
      <c r="E544" s="136" t="s">
        <v>1571</v>
      </c>
      <c r="F544" s="419">
        <v>40908</v>
      </c>
      <c r="G544" s="140">
        <v>1249.3926300000001</v>
      </c>
      <c r="H544" s="140">
        <v>6</v>
      </c>
      <c r="I544" s="140">
        <v>114.20489999999999</v>
      </c>
      <c r="J544" s="140">
        <v>385.89611000000002</v>
      </c>
      <c r="K544" s="140">
        <v>189.15836999999999</v>
      </c>
      <c r="L544" s="140">
        <v>709.41120000000001</v>
      </c>
      <c r="M544" s="140">
        <v>4</v>
      </c>
      <c r="N544" s="140">
        <v>12</v>
      </c>
      <c r="O544" s="211">
        <f t="shared" si="17"/>
        <v>0.25</v>
      </c>
      <c r="P544" s="608">
        <v>189.15836999999999</v>
      </c>
      <c r="Q544" s="141">
        <f t="shared" si="16"/>
        <v>47.289592499999998</v>
      </c>
    </row>
    <row r="545" spans="1:17" ht="42">
      <c r="A545" s="138" t="s">
        <v>2625</v>
      </c>
      <c r="B545" s="135" t="s">
        <v>2628</v>
      </c>
      <c r="C545" s="136" t="s">
        <v>1449</v>
      </c>
      <c r="D545" s="136" t="s">
        <v>1448</v>
      </c>
      <c r="E545" s="138" t="s">
        <v>1571</v>
      </c>
      <c r="F545" s="420">
        <v>43100</v>
      </c>
      <c r="G545" s="141">
        <v>1243.1194599999999</v>
      </c>
      <c r="H545" s="141">
        <v>6</v>
      </c>
      <c r="I545" s="142" t="s">
        <v>189</v>
      </c>
      <c r="J545" s="141">
        <v>35.035310000000003</v>
      </c>
      <c r="K545" s="141">
        <v>204.09709000000001</v>
      </c>
      <c r="L545" s="141">
        <v>254.84053</v>
      </c>
      <c r="M545" s="142" t="s">
        <v>189</v>
      </c>
      <c r="N545" s="142" t="s">
        <v>189</v>
      </c>
      <c r="P545" s="610">
        <v>204.09709000000001</v>
      </c>
      <c r="Q545" s="141">
        <f t="shared" si="16"/>
        <v>0</v>
      </c>
    </row>
    <row r="546" spans="1:17" ht="31.5">
      <c r="A546" s="136" t="s">
        <v>2627</v>
      </c>
      <c r="B546" s="137" t="s">
        <v>2630</v>
      </c>
      <c r="C546" s="138" t="s">
        <v>1390</v>
      </c>
      <c r="D546" s="138" t="s">
        <v>1797</v>
      </c>
      <c r="E546" s="136" t="s">
        <v>1571</v>
      </c>
      <c r="F546" s="419">
        <v>43100</v>
      </c>
      <c r="G546" s="140">
        <v>1209.7228</v>
      </c>
      <c r="H546" s="140">
        <v>8</v>
      </c>
      <c r="I546" s="140">
        <v>1.68824</v>
      </c>
      <c r="J546" s="140">
        <v>14.299220000000002</v>
      </c>
      <c r="K546" s="140">
        <v>290.66307</v>
      </c>
      <c r="L546" s="140">
        <v>335.10709000000003</v>
      </c>
      <c r="M546" s="143" t="s">
        <v>189</v>
      </c>
      <c r="N546" s="143" t="s">
        <v>189</v>
      </c>
      <c r="P546" s="608">
        <v>290.66307</v>
      </c>
      <c r="Q546" s="141">
        <f t="shared" ref="Q546:Q609" si="18">O546*P546</f>
        <v>0</v>
      </c>
    </row>
    <row r="547" spans="1:17" ht="52.5">
      <c r="A547" s="138" t="s">
        <v>2629</v>
      </c>
      <c r="B547" s="135" t="s">
        <v>2632</v>
      </c>
      <c r="C547" s="136" t="s">
        <v>1531</v>
      </c>
      <c r="D547" s="136" t="s">
        <v>1279</v>
      </c>
      <c r="E547" s="138" t="s">
        <v>1571</v>
      </c>
      <c r="F547" s="420">
        <v>42735</v>
      </c>
      <c r="G547" s="141">
        <v>1207.1829700000001</v>
      </c>
      <c r="H547" s="141">
        <v>7</v>
      </c>
      <c r="I547" s="141">
        <v>4.8060900000000002</v>
      </c>
      <c r="J547" s="141">
        <v>31.603649999999998</v>
      </c>
      <c r="K547" s="141">
        <v>271.64627000000002</v>
      </c>
      <c r="L547" s="141">
        <v>342.21325999999999</v>
      </c>
      <c r="M547" s="142" t="s">
        <v>189</v>
      </c>
      <c r="N547" s="142" t="s">
        <v>189</v>
      </c>
      <c r="P547" s="610">
        <v>271.64627000000002</v>
      </c>
      <c r="Q547" s="141">
        <f t="shared" si="18"/>
        <v>0</v>
      </c>
    </row>
    <row r="548" spans="1:17" ht="21">
      <c r="A548" s="136" t="s">
        <v>2631</v>
      </c>
      <c r="B548" s="137" t="s">
        <v>2634</v>
      </c>
      <c r="C548" s="138" t="s">
        <v>1133</v>
      </c>
      <c r="D548" s="138" t="s">
        <v>1132</v>
      </c>
      <c r="E548" s="136" t="s">
        <v>1571</v>
      </c>
      <c r="F548" s="419">
        <v>42735</v>
      </c>
      <c r="G548" s="140">
        <v>1206.2496600000002</v>
      </c>
      <c r="H548" s="140">
        <v>9</v>
      </c>
      <c r="I548" s="140">
        <v>2.6053100000000002</v>
      </c>
      <c r="J548" s="140">
        <v>12.234030000000001</v>
      </c>
      <c r="K548" s="140">
        <v>388.49736999999999</v>
      </c>
      <c r="L548" s="140">
        <v>421.32588000000004</v>
      </c>
      <c r="M548" s="143" t="s">
        <v>189</v>
      </c>
      <c r="N548" s="143" t="s">
        <v>189</v>
      </c>
      <c r="P548" s="608">
        <v>388.49736999999999</v>
      </c>
      <c r="Q548" s="141">
        <f t="shared" si="18"/>
        <v>0</v>
      </c>
    </row>
    <row r="549" spans="1:17">
      <c r="A549" s="138" t="s">
        <v>2633</v>
      </c>
      <c r="B549" s="135" t="s">
        <v>2636</v>
      </c>
      <c r="C549" s="136" t="s">
        <v>964</v>
      </c>
      <c r="D549" s="136" t="s">
        <v>1320</v>
      </c>
      <c r="E549" s="138" t="s">
        <v>1571</v>
      </c>
      <c r="F549" s="420">
        <v>42735</v>
      </c>
      <c r="G549" s="141">
        <v>1205.4796800000001</v>
      </c>
      <c r="H549" s="141">
        <v>3</v>
      </c>
      <c r="I549" s="142" t="s">
        <v>189</v>
      </c>
      <c r="J549" s="141">
        <v>88.318429999999992</v>
      </c>
      <c r="K549" s="141">
        <v>93.357489999999999</v>
      </c>
      <c r="L549" s="141">
        <v>231.07561999999999</v>
      </c>
      <c r="M549" s="141">
        <v>6</v>
      </c>
      <c r="N549" s="141">
        <v>9</v>
      </c>
      <c r="O549" s="211">
        <f t="shared" si="17"/>
        <v>0.4</v>
      </c>
      <c r="P549" s="610">
        <v>93.357489999999999</v>
      </c>
      <c r="Q549" s="141">
        <f t="shared" si="18"/>
        <v>37.342995999999999</v>
      </c>
    </row>
    <row r="550" spans="1:17" ht="42">
      <c r="A550" s="136" t="s">
        <v>2635</v>
      </c>
      <c r="B550" s="137" t="s">
        <v>2638</v>
      </c>
      <c r="C550" s="138" t="s">
        <v>817</v>
      </c>
      <c r="D550" s="138" t="s">
        <v>811</v>
      </c>
      <c r="E550" s="136" t="s">
        <v>1571</v>
      </c>
      <c r="F550" s="419">
        <v>43100</v>
      </c>
      <c r="G550" s="140">
        <v>1200.3806700000002</v>
      </c>
      <c r="H550" s="140">
        <v>13</v>
      </c>
      <c r="I550" s="140">
        <v>0.83561000000000007</v>
      </c>
      <c r="J550" s="140">
        <v>5.4947900000000001</v>
      </c>
      <c r="K550" s="140">
        <v>210.22587999999999</v>
      </c>
      <c r="L550" s="140">
        <v>228.93762000000001</v>
      </c>
      <c r="M550" s="143" t="s">
        <v>189</v>
      </c>
      <c r="N550" s="143" t="s">
        <v>189</v>
      </c>
      <c r="P550" s="608">
        <v>210.22587999999999</v>
      </c>
      <c r="Q550" s="141">
        <f t="shared" si="18"/>
        <v>0</v>
      </c>
    </row>
    <row r="551" spans="1:17" ht="31.5">
      <c r="A551" s="138" t="s">
        <v>2637</v>
      </c>
      <c r="B551" s="135" t="s">
        <v>2640</v>
      </c>
      <c r="C551" s="136" t="s">
        <v>1032</v>
      </c>
      <c r="D551" s="136" t="s">
        <v>1027</v>
      </c>
      <c r="E551" s="138" t="s">
        <v>1571</v>
      </c>
      <c r="F551" s="420">
        <v>42613</v>
      </c>
      <c r="G551" s="141">
        <v>1197.3344099999999</v>
      </c>
      <c r="H551" s="141">
        <v>16</v>
      </c>
      <c r="I551" s="142" t="s">
        <v>189</v>
      </c>
      <c r="J551" s="141">
        <v>29.151329999999998</v>
      </c>
      <c r="K551" s="141">
        <v>579.92752000000007</v>
      </c>
      <c r="L551" s="141">
        <v>622.01859000000002</v>
      </c>
      <c r="M551" s="142" t="s">
        <v>189</v>
      </c>
      <c r="N551" s="142" t="s">
        <v>189</v>
      </c>
      <c r="P551" s="610">
        <v>579.92752000000007</v>
      </c>
      <c r="Q551" s="141">
        <f t="shared" si="18"/>
        <v>0</v>
      </c>
    </row>
    <row r="552" spans="1:17" ht="52.5">
      <c r="A552" s="136" t="s">
        <v>2639</v>
      </c>
      <c r="B552" s="137" t="s">
        <v>2642</v>
      </c>
      <c r="C552" s="138" t="s">
        <v>1333</v>
      </c>
      <c r="D552" s="138" t="s">
        <v>1320</v>
      </c>
      <c r="E552" s="136" t="s">
        <v>1571</v>
      </c>
      <c r="F552" s="419">
        <v>43100</v>
      </c>
      <c r="G552" s="140">
        <v>1195.3551000000002</v>
      </c>
      <c r="H552" s="140">
        <v>10</v>
      </c>
      <c r="I552" s="143" t="s">
        <v>189</v>
      </c>
      <c r="J552" s="140">
        <v>17.522290000000002</v>
      </c>
      <c r="K552" s="140">
        <v>310.26006000000001</v>
      </c>
      <c r="L552" s="140">
        <v>392.20202900000004</v>
      </c>
      <c r="M552" s="143" t="s">
        <v>189</v>
      </c>
      <c r="N552" s="143" t="s">
        <v>189</v>
      </c>
      <c r="P552" s="608">
        <v>310.26006000000001</v>
      </c>
      <c r="Q552" s="141">
        <f t="shared" si="18"/>
        <v>0</v>
      </c>
    </row>
    <row r="553" spans="1:17" ht="31.5">
      <c r="A553" s="138" t="s">
        <v>2641</v>
      </c>
      <c r="B553" s="135" t="s">
        <v>2644</v>
      </c>
      <c r="C553" s="136" t="s">
        <v>1522</v>
      </c>
      <c r="D553" s="136" t="s">
        <v>1501</v>
      </c>
      <c r="E553" s="138" t="s">
        <v>1571</v>
      </c>
      <c r="F553" s="420">
        <v>43100</v>
      </c>
      <c r="G553" s="141">
        <v>1194.26106</v>
      </c>
      <c r="H553" s="141">
        <v>13</v>
      </c>
      <c r="I553" s="141">
        <v>0.98440000000000005</v>
      </c>
      <c r="J553" s="141">
        <v>3.1172499999999999</v>
      </c>
      <c r="K553" s="141">
        <v>485.51395000000002</v>
      </c>
      <c r="L553" s="141">
        <v>495.78955000000002</v>
      </c>
      <c r="M553" s="142" t="s">
        <v>189</v>
      </c>
      <c r="N553" s="142" t="s">
        <v>189</v>
      </c>
      <c r="P553" s="610">
        <v>485.51395000000002</v>
      </c>
      <c r="Q553" s="141">
        <f t="shared" si="18"/>
        <v>0</v>
      </c>
    </row>
    <row r="554" spans="1:17" ht="21">
      <c r="A554" s="136" t="s">
        <v>2643</v>
      </c>
      <c r="B554" s="137" t="s">
        <v>2646</v>
      </c>
      <c r="C554" s="138" t="s">
        <v>824</v>
      </c>
      <c r="D554" s="138" t="s">
        <v>811</v>
      </c>
      <c r="E554" s="136" t="s">
        <v>1571</v>
      </c>
      <c r="F554" s="419">
        <v>42369</v>
      </c>
      <c r="G554" s="140">
        <v>1190.65643</v>
      </c>
      <c r="H554" s="140">
        <v>16</v>
      </c>
      <c r="I554" s="143" t="s">
        <v>189</v>
      </c>
      <c r="J554" s="140">
        <v>-48.215759999999996</v>
      </c>
      <c r="K554" s="140">
        <v>537.17254000000003</v>
      </c>
      <c r="L554" s="140">
        <v>546.19806000000005</v>
      </c>
      <c r="M554" s="143" t="s">
        <v>189</v>
      </c>
      <c r="N554" s="143" t="s">
        <v>189</v>
      </c>
      <c r="P554" s="608">
        <v>537.17254000000003</v>
      </c>
      <c r="Q554" s="141">
        <f t="shared" si="18"/>
        <v>0</v>
      </c>
    </row>
    <row r="555" spans="1:17" ht="31.5">
      <c r="A555" s="138" t="s">
        <v>2645</v>
      </c>
      <c r="B555" s="421" t="s">
        <v>2648</v>
      </c>
      <c r="C555" s="136" t="s">
        <v>1443</v>
      </c>
      <c r="D555" s="136" t="s">
        <v>1429</v>
      </c>
      <c r="E555" s="138" t="s">
        <v>1571</v>
      </c>
      <c r="F555" s="420">
        <v>43100</v>
      </c>
      <c r="G555" s="141">
        <v>1178.0281100000002</v>
      </c>
      <c r="H555" s="141">
        <v>14</v>
      </c>
      <c r="I555" s="141"/>
      <c r="J555" s="141">
        <v>-23.839809999999996</v>
      </c>
      <c r="K555" s="141">
        <v>548.50538000000006</v>
      </c>
      <c r="L555" s="141">
        <v>571.79180900000006</v>
      </c>
      <c r="M555" s="142" t="s">
        <v>189</v>
      </c>
      <c r="N555" s="142" t="s">
        <v>189</v>
      </c>
      <c r="P555" s="610">
        <v>548.50538000000006</v>
      </c>
      <c r="Q555" s="141">
        <f t="shared" si="18"/>
        <v>0</v>
      </c>
    </row>
    <row r="556" spans="1:17" ht="21">
      <c r="A556" s="136" t="s">
        <v>2647</v>
      </c>
      <c r="B556" s="137" t="s">
        <v>2650</v>
      </c>
      <c r="C556" s="138" t="s">
        <v>1240</v>
      </c>
      <c r="D556" s="138" t="s">
        <v>1235</v>
      </c>
      <c r="E556" s="136" t="s">
        <v>1571</v>
      </c>
      <c r="F556" s="419">
        <v>40178</v>
      </c>
      <c r="G556" s="140">
        <v>1174.1968200000001</v>
      </c>
      <c r="H556" s="140">
        <v>16</v>
      </c>
      <c r="I556" s="140">
        <v>9.4297700000000013</v>
      </c>
      <c r="J556" s="140">
        <v>29.860950000000003</v>
      </c>
      <c r="K556" s="140">
        <v>478.48554000000001</v>
      </c>
      <c r="L556" s="140">
        <v>522.93689000000006</v>
      </c>
      <c r="M556" s="140">
        <v>1</v>
      </c>
      <c r="N556" s="140">
        <v>3</v>
      </c>
      <c r="O556" s="211">
        <f t="shared" si="17"/>
        <v>0.25</v>
      </c>
      <c r="P556" s="608">
        <v>478.48554000000001</v>
      </c>
      <c r="Q556" s="141">
        <f t="shared" si="18"/>
        <v>119.621385</v>
      </c>
    </row>
    <row r="557" spans="1:17">
      <c r="A557" s="138" t="s">
        <v>2649</v>
      </c>
      <c r="B557" s="135" t="s">
        <v>2652</v>
      </c>
      <c r="C557" s="136" t="s">
        <v>600</v>
      </c>
      <c r="D557" s="136" t="s">
        <v>596</v>
      </c>
      <c r="E557" s="138" t="s">
        <v>1571</v>
      </c>
      <c r="F557" s="420">
        <v>43100</v>
      </c>
      <c r="G557" s="141">
        <v>1173.4309499999999</v>
      </c>
      <c r="H557" s="141">
        <v>15</v>
      </c>
      <c r="I557" s="141">
        <v>36.173320000000004</v>
      </c>
      <c r="J557" s="141">
        <v>114.26584</v>
      </c>
      <c r="K557" s="141">
        <v>532.96507899999995</v>
      </c>
      <c r="L557" s="141">
        <v>688.89427899999987</v>
      </c>
      <c r="M557" s="141">
        <v>1</v>
      </c>
      <c r="N557" s="141">
        <v>12</v>
      </c>
      <c r="O557" s="211">
        <f t="shared" si="17"/>
        <v>7.6923076923076927E-2</v>
      </c>
      <c r="P557" s="610">
        <v>532.96507899999995</v>
      </c>
      <c r="Q557" s="141">
        <f t="shared" si="18"/>
        <v>40.997313769230765</v>
      </c>
    </row>
    <row r="558" spans="1:17" ht="31.5">
      <c r="A558" s="136" t="s">
        <v>2651</v>
      </c>
      <c r="B558" s="137" t="s">
        <v>2654</v>
      </c>
      <c r="C558" s="138" t="s">
        <v>1286</v>
      </c>
      <c r="D558" s="138" t="s">
        <v>1800</v>
      </c>
      <c r="E558" s="136" t="s">
        <v>1571</v>
      </c>
      <c r="F558" s="419">
        <v>43100</v>
      </c>
      <c r="G558" s="140">
        <v>1165.7407499999999</v>
      </c>
      <c r="H558" s="140">
        <v>4</v>
      </c>
      <c r="I558" s="140">
        <v>19.688480000000002</v>
      </c>
      <c r="J558" s="140">
        <v>83.411820000000006</v>
      </c>
      <c r="K558" s="140">
        <v>104.7067</v>
      </c>
      <c r="L558" s="140">
        <v>220.82375000000002</v>
      </c>
      <c r="M558" s="143" t="s">
        <v>189</v>
      </c>
      <c r="N558" s="140">
        <v>2</v>
      </c>
      <c r="P558" s="608">
        <v>104.7067</v>
      </c>
      <c r="Q558" s="141">
        <f t="shared" si="18"/>
        <v>0</v>
      </c>
    </row>
    <row r="559" spans="1:17" ht="73.5">
      <c r="A559" s="138" t="s">
        <v>2653</v>
      </c>
      <c r="B559" s="135" t="s">
        <v>2656</v>
      </c>
      <c r="C559" s="136" t="s">
        <v>1115</v>
      </c>
      <c r="D559" s="136" t="s">
        <v>1112</v>
      </c>
      <c r="E559" s="138" t="s">
        <v>1571</v>
      </c>
      <c r="F559" s="420">
        <v>43100</v>
      </c>
      <c r="G559" s="141">
        <v>1160.1074900000001</v>
      </c>
      <c r="H559" s="141">
        <v>11</v>
      </c>
      <c r="I559" s="142" t="s">
        <v>189</v>
      </c>
      <c r="J559" s="141">
        <v>54.134910000000005</v>
      </c>
      <c r="K559" s="141">
        <v>380.53449000000006</v>
      </c>
      <c r="L559" s="141">
        <v>488.99114999999995</v>
      </c>
      <c r="M559" s="142" t="s">
        <v>189</v>
      </c>
      <c r="N559" s="142" t="s">
        <v>189</v>
      </c>
      <c r="P559" s="610">
        <v>380.53449000000006</v>
      </c>
      <c r="Q559" s="141">
        <f t="shared" si="18"/>
        <v>0</v>
      </c>
    </row>
    <row r="560" spans="1:17" ht="63">
      <c r="A560" s="136" t="s">
        <v>2655</v>
      </c>
      <c r="B560" s="137" t="s">
        <v>2658</v>
      </c>
      <c r="C560" s="138" t="s">
        <v>1436</v>
      </c>
      <c r="D560" s="138" t="s">
        <v>1429</v>
      </c>
      <c r="E560" s="136" t="s">
        <v>1571</v>
      </c>
      <c r="F560" s="419">
        <v>43100</v>
      </c>
      <c r="G560" s="140">
        <v>1158.7384399999999</v>
      </c>
      <c r="H560" s="140">
        <v>13</v>
      </c>
      <c r="I560" s="140">
        <v>41.073729999999998</v>
      </c>
      <c r="J560" s="140">
        <v>130.06682000000001</v>
      </c>
      <c r="K560" s="140">
        <v>480.24952000000002</v>
      </c>
      <c r="L560" s="140">
        <v>733.97519</v>
      </c>
      <c r="M560" s="143" t="s">
        <v>189</v>
      </c>
      <c r="N560" s="143" t="s">
        <v>189</v>
      </c>
      <c r="P560" s="608">
        <v>480.24952000000002</v>
      </c>
      <c r="Q560" s="141">
        <f t="shared" si="18"/>
        <v>0</v>
      </c>
    </row>
    <row r="561" spans="1:17" ht="21">
      <c r="A561" s="138" t="s">
        <v>2657</v>
      </c>
      <c r="B561" s="135" t="s">
        <v>2660</v>
      </c>
      <c r="C561" s="136" t="s">
        <v>645</v>
      </c>
      <c r="D561" s="136" t="s">
        <v>641</v>
      </c>
      <c r="E561" s="138" t="s">
        <v>1571</v>
      </c>
      <c r="F561" s="420">
        <v>43100</v>
      </c>
      <c r="G561" s="141">
        <v>1154.981299</v>
      </c>
      <c r="H561" s="141">
        <v>28</v>
      </c>
      <c r="I561" s="142" t="s">
        <v>189</v>
      </c>
      <c r="J561" s="141">
        <v>-2447.9722099999999</v>
      </c>
      <c r="K561" s="141">
        <v>1594.3419099999999</v>
      </c>
      <c r="L561" s="141">
        <v>-352.37063000000001</v>
      </c>
      <c r="M561" s="142" t="s">
        <v>189</v>
      </c>
      <c r="N561" s="142" t="s">
        <v>189</v>
      </c>
      <c r="P561" s="610">
        <v>1594.3419099999999</v>
      </c>
      <c r="Q561" s="141">
        <f t="shared" si="18"/>
        <v>0</v>
      </c>
    </row>
    <row r="562" spans="1:17" ht="42">
      <c r="A562" s="136" t="s">
        <v>2659</v>
      </c>
      <c r="B562" s="137" t="s">
        <v>2662</v>
      </c>
      <c r="C562" s="138" t="s">
        <v>840</v>
      </c>
      <c r="D562" s="138" t="s">
        <v>811</v>
      </c>
      <c r="E562" s="136" t="s">
        <v>1571</v>
      </c>
      <c r="F562" s="419">
        <v>43100</v>
      </c>
      <c r="G562" s="140">
        <v>1147.4966200000001</v>
      </c>
      <c r="H562" s="140">
        <v>4</v>
      </c>
      <c r="I562" s="140">
        <v>20.25262</v>
      </c>
      <c r="J562" s="140">
        <v>82.493089999999995</v>
      </c>
      <c r="K562" s="140">
        <v>251.1961</v>
      </c>
      <c r="L562" s="140">
        <v>371.88683000000003</v>
      </c>
      <c r="M562" s="143" t="s">
        <v>189</v>
      </c>
      <c r="N562" s="143" t="s">
        <v>189</v>
      </c>
      <c r="P562" s="608">
        <v>251.1961</v>
      </c>
      <c r="Q562" s="141">
        <f t="shared" si="18"/>
        <v>0</v>
      </c>
    </row>
    <row r="563" spans="1:17" ht="52.5">
      <c r="A563" s="138" t="s">
        <v>2661</v>
      </c>
      <c r="B563" s="135" t="s">
        <v>2664</v>
      </c>
      <c r="C563" s="136" t="s">
        <v>1214</v>
      </c>
      <c r="D563" s="136" t="s">
        <v>1215</v>
      </c>
      <c r="E563" s="138" t="s">
        <v>1571</v>
      </c>
      <c r="F563" s="420">
        <v>43100</v>
      </c>
      <c r="G563" s="141">
        <v>1142.41679</v>
      </c>
      <c r="H563" s="141">
        <v>11</v>
      </c>
      <c r="I563" s="141">
        <v>11.17975</v>
      </c>
      <c r="J563" s="141">
        <v>42.67239</v>
      </c>
      <c r="K563" s="141">
        <v>546.4839300000001</v>
      </c>
      <c r="L563" s="141">
        <v>665.29373999999996</v>
      </c>
      <c r="M563" s="142" t="s">
        <v>189</v>
      </c>
      <c r="N563" s="142" t="s">
        <v>189</v>
      </c>
      <c r="P563" s="610">
        <v>546.4839300000001</v>
      </c>
      <c r="Q563" s="141">
        <f t="shared" si="18"/>
        <v>0</v>
      </c>
    </row>
    <row r="564" spans="1:17" ht="21">
      <c r="A564" s="136" t="s">
        <v>2663</v>
      </c>
      <c r="B564" s="137" t="s">
        <v>2666</v>
      </c>
      <c r="C564" s="138" t="s">
        <v>1265</v>
      </c>
      <c r="D564" s="138" t="s">
        <v>1266</v>
      </c>
      <c r="E564" s="136" t="s">
        <v>1571</v>
      </c>
      <c r="F564" s="419">
        <v>43100</v>
      </c>
      <c r="G564" s="140">
        <v>1136.9291400000002</v>
      </c>
      <c r="H564" s="140">
        <v>1</v>
      </c>
      <c r="I564" s="140"/>
      <c r="J564" s="140">
        <v>74.872680000000003</v>
      </c>
      <c r="K564" s="140">
        <v>49.100229999999996</v>
      </c>
      <c r="L564" s="140">
        <v>133.47368899999998</v>
      </c>
      <c r="M564" s="143" t="s">
        <v>189</v>
      </c>
      <c r="N564" s="143" t="s">
        <v>189</v>
      </c>
      <c r="P564" s="608">
        <v>49.100229999999996</v>
      </c>
      <c r="Q564" s="141">
        <f t="shared" si="18"/>
        <v>0</v>
      </c>
    </row>
    <row r="565" spans="1:17" ht="21">
      <c r="A565" s="138" t="s">
        <v>2665</v>
      </c>
      <c r="B565" s="135" t="s">
        <v>2668</v>
      </c>
      <c r="C565" s="136" t="s">
        <v>903</v>
      </c>
      <c r="D565" s="136" t="s">
        <v>811</v>
      </c>
      <c r="E565" s="138" t="s">
        <v>1571</v>
      </c>
      <c r="F565" s="420">
        <v>43100</v>
      </c>
      <c r="G565" s="141">
        <v>1135.6206900000002</v>
      </c>
      <c r="H565" s="141">
        <v>6</v>
      </c>
      <c r="I565" s="141">
        <v>0.65473999999999999</v>
      </c>
      <c r="J565" s="141">
        <v>6.8923500000000004</v>
      </c>
      <c r="K565" s="141">
        <v>187.50951000000001</v>
      </c>
      <c r="L565" s="141">
        <v>205.27207999999999</v>
      </c>
      <c r="M565" s="142" t="s">
        <v>189</v>
      </c>
      <c r="N565" s="142" t="s">
        <v>189</v>
      </c>
      <c r="P565" s="610">
        <v>187.50951000000001</v>
      </c>
      <c r="Q565" s="141">
        <f t="shared" si="18"/>
        <v>0</v>
      </c>
    </row>
    <row r="566" spans="1:17" ht="21">
      <c r="A566" s="136" t="s">
        <v>2667</v>
      </c>
      <c r="B566" s="137" t="s">
        <v>2670</v>
      </c>
      <c r="C566" s="138" t="s">
        <v>1546</v>
      </c>
      <c r="D566" s="138" t="s">
        <v>1279</v>
      </c>
      <c r="E566" s="136" t="s">
        <v>1571</v>
      </c>
      <c r="F566" s="419">
        <v>43100</v>
      </c>
      <c r="G566" s="140">
        <v>1135.4634699999999</v>
      </c>
      <c r="H566" s="140">
        <v>5</v>
      </c>
      <c r="I566" s="143" t="s">
        <v>189</v>
      </c>
      <c r="J566" s="140">
        <v>8.7852499999999996</v>
      </c>
      <c r="K566" s="140">
        <v>167.93965</v>
      </c>
      <c r="L566" s="140">
        <v>180.27034999999998</v>
      </c>
      <c r="M566" s="140">
        <v>2</v>
      </c>
      <c r="N566" s="140">
        <v>4</v>
      </c>
      <c r="O566" s="211">
        <f t="shared" si="17"/>
        <v>0.33333333333333331</v>
      </c>
      <c r="P566" s="608">
        <v>167.93965</v>
      </c>
      <c r="Q566" s="141">
        <f t="shared" si="18"/>
        <v>55.979883333333333</v>
      </c>
    </row>
    <row r="567" spans="1:17">
      <c r="A567" s="138" t="s">
        <v>2669</v>
      </c>
      <c r="B567" s="135" t="s">
        <v>2672</v>
      </c>
      <c r="C567" s="136" t="s">
        <v>685</v>
      </c>
      <c r="D567" s="136" t="s">
        <v>686</v>
      </c>
      <c r="E567" s="138" t="s">
        <v>1571</v>
      </c>
      <c r="F567" s="420">
        <v>43100</v>
      </c>
      <c r="G567" s="141">
        <v>1131.4056700000001</v>
      </c>
      <c r="H567" s="141">
        <v>16</v>
      </c>
      <c r="I567" s="142" t="s">
        <v>189</v>
      </c>
      <c r="J567" s="141">
        <v>10.588570000000001</v>
      </c>
      <c r="K567" s="141">
        <v>500.82532000000003</v>
      </c>
      <c r="L567" s="141">
        <v>553.77576999999997</v>
      </c>
      <c r="M567" s="141">
        <v>1</v>
      </c>
      <c r="N567" s="141">
        <v>1</v>
      </c>
      <c r="O567" s="211">
        <f t="shared" si="17"/>
        <v>0.5</v>
      </c>
      <c r="P567" s="610">
        <v>500.82532000000003</v>
      </c>
      <c r="Q567" s="141">
        <f t="shared" si="18"/>
        <v>250.41266000000002</v>
      </c>
    </row>
    <row r="568" spans="1:17" ht="31.5">
      <c r="A568" s="136" t="s">
        <v>2671</v>
      </c>
      <c r="B568" s="137" t="s">
        <v>2674</v>
      </c>
      <c r="C568" s="138" t="s">
        <v>918</v>
      </c>
      <c r="D568" s="138" t="s">
        <v>811</v>
      </c>
      <c r="E568" s="136" t="s">
        <v>1571</v>
      </c>
      <c r="F568" s="419">
        <v>43100</v>
      </c>
      <c r="G568" s="140">
        <v>1130.2250200000001</v>
      </c>
      <c r="H568" s="140">
        <v>11</v>
      </c>
      <c r="I568" s="140">
        <v>9.9833199999999991</v>
      </c>
      <c r="J568" s="140">
        <v>14.61708</v>
      </c>
      <c r="K568" s="140">
        <v>347.89148000000006</v>
      </c>
      <c r="L568" s="140">
        <v>384.28709000000003</v>
      </c>
      <c r="M568" s="140">
        <v>4</v>
      </c>
      <c r="N568" s="140">
        <v>2</v>
      </c>
      <c r="O568" s="211">
        <f t="shared" si="17"/>
        <v>0.66666666666666663</v>
      </c>
      <c r="P568" s="608">
        <v>347.89148000000006</v>
      </c>
      <c r="Q568" s="141">
        <f t="shared" si="18"/>
        <v>231.92765333333335</v>
      </c>
    </row>
    <row r="569" spans="1:17" ht="52.5">
      <c r="A569" s="138" t="s">
        <v>2673</v>
      </c>
      <c r="B569" s="135" t="s">
        <v>2676</v>
      </c>
      <c r="C569" s="136" t="s">
        <v>1417</v>
      </c>
      <c r="D569" s="136" t="s">
        <v>1419</v>
      </c>
      <c r="E569" s="138" t="s">
        <v>1571</v>
      </c>
      <c r="F569" s="420">
        <v>43100</v>
      </c>
      <c r="G569" s="141">
        <v>1128.7331100000001</v>
      </c>
      <c r="H569" s="141">
        <v>2</v>
      </c>
      <c r="I569" s="141">
        <v>2.7331300000000001</v>
      </c>
      <c r="J569" s="141">
        <v>9.5468299999999999</v>
      </c>
      <c r="K569" s="141">
        <v>171.86962</v>
      </c>
      <c r="L569" s="141">
        <v>207.37461999999999</v>
      </c>
      <c r="M569" s="142" t="s">
        <v>189</v>
      </c>
      <c r="N569" s="142" t="s">
        <v>189</v>
      </c>
      <c r="P569" s="610">
        <v>171.86962</v>
      </c>
      <c r="Q569" s="141">
        <f t="shared" si="18"/>
        <v>0</v>
      </c>
    </row>
    <row r="570" spans="1:17" ht="21">
      <c r="A570" s="136" t="s">
        <v>2675</v>
      </c>
      <c r="B570" s="137" t="s">
        <v>2678</v>
      </c>
      <c r="C570" s="138" t="s">
        <v>656</v>
      </c>
      <c r="D570" s="138" t="s">
        <v>1622</v>
      </c>
      <c r="E570" s="136" t="s">
        <v>1571</v>
      </c>
      <c r="F570" s="419">
        <v>43100</v>
      </c>
      <c r="G570" s="140">
        <v>1122.3251300000002</v>
      </c>
      <c r="H570" s="140">
        <v>6</v>
      </c>
      <c r="I570" s="140">
        <v>0.96029000000000009</v>
      </c>
      <c r="J570" s="140">
        <v>49.122380000000007</v>
      </c>
      <c r="K570" s="140">
        <v>204.88760000000002</v>
      </c>
      <c r="L570" s="140">
        <v>259.90467000000001</v>
      </c>
      <c r="M570" s="140">
        <v>4</v>
      </c>
      <c r="N570" s="140">
        <v>17</v>
      </c>
      <c r="O570" s="211">
        <f t="shared" si="17"/>
        <v>0.19047619047619047</v>
      </c>
      <c r="P570" s="608">
        <v>204.88760000000002</v>
      </c>
      <c r="Q570" s="141">
        <f t="shared" si="18"/>
        <v>39.026209523809527</v>
      </c>
    </row>
    <row r="571" spans="1:17" ht="21">
      <c r="A571" s="138" t="s">
        <v>2677</v>
      </c>
      <c r="B571" s="135" t="s">
        <v>2680</v>
      </c>
      <c r="C571" s="136" t="s">
        <v>1465</v>
      </c>
      <c r="D571" s="136" t="s">
        <v>1461</v>
      </c>
      <c r="E571" s="138" t="s">
        <v>1571</v>
      </c>
      <c r="F571" s="420">
        <v>42735</v>
      </c>
      <c r="G571" s="141">
        <v>1122.1412800000001</v>
      </c>
      <c r="H571" s="142" t="s">
        <v>189</v>
      </c>
      <c r="I571" s="141">
        <v>0.78807000000000005</v>
      </c>
      <c r="J571" s="141">
        <v>102.95578999999999</v>
      </c>
      <c r="K571" s="141">
        <v>595.39273000000003</v>
      </c>
      <c r="L571" s="141">
        <v>752.31712000000005</v>
      </c>
      <c r="M571" s="142" t="s">
        <v>189</v>
      </c>
      <c r="N571" s="142" t="s">
        <v>189</v>
      </c>
      <c r="P571" s="610">
        <v>595.39273000000003</v>
      </c>
      <c r="Q571" s="141">
        <f t="shared" si="18"/>
        <v>0</v>
      </c>
    </row>
    <row r="572" spans="1:17" ht="42">
      <c r="A572" s="136" t="s">
        <v>2679</v>
      </c>
      <c r="B572" s="137" t="s">
        <v>2682</v>
      </c>
      <c r="C572" s="138" t="s">
        <v>1533</v>
      </c>
      <c r="D572" s="138" t="s">
        <v>1279</v>
      </c>
      <c r="E572" s="136" t="s">
        <v>1571</v>
      </c>
      <c r="F572" s="419">
        <v>43100</v>
      </c>
      <c r="G572" s="140">
        <v>1115.9552100000001</v>
      </c>
      <c r="H572" s="140">
        <v>6</v>
      </c>
      <c r="I572" s="143" t="s">
        <v>189</v>
      </c>
      <c r="J572" s="140">
        <v>79.695419999999999</v>
      </c>
      <c r="K572" s="140">
        <v>203.70665</v>
      </c>
      <c r="L572" s="140">
        <v>291.40138999999999</v>
      </c>
      <c r="M572" s="140">
        <v>2</v>
      </c>
      <c r="N572" s="140">
        <v>5</v>
      </c>
      <c r="O572" s="211">
        <f t="shared" si="17"/>
        <v>0.2857142857142857</v>
      </c>
      <c r="P572" s="608">
        <v>203.70665</v>
      </c>
      <c r="Q572" s="141">
        <f t="shared" si="18"/>
        <v>58.201899999999995</v>
      </c>
    </row>
    <row r="573" spans="1:17" ht="31.5">
      <c r="A573" s="138" t="s">
        <v>2681</v>
      </c>
      <c r="B573" s="135" t="s">
        <v>2684</v>
      </c>
      <c r="C573" s="136" t="s">
        <v>1288</v>
      </c>
      <c r="D573" s="136" t="s">
        <v>1266</v>
      </c>
      <c r="E573" s="138" t="s">
        <v>1571</v>
      </c>
      <c r="F573" s="420">
        <v>43100</v>
      </c>
      <c r="G573" s="141">
        <v>1114.7656000000002</v>
      </c>
      <c r="H573" s="141">
        <v>2</v>
      </c>
      <c r="I573" s="141">
        <v>28.485669999999999</v>
      </c>
      <c r="J573" s="141">
        <v>119.87722000000001</v>
      </c>
      <c r="K573" s="141">
        <v>100.26816000000001</v>
      </c>
      <c r="L573" s="141">
        <v>253.76752999999999</v>
      </c>
      <c r="M573" s="142" t="s">
        <v>189</v>
      </c>
      <c r="N573" s="142" t="s">
        <v>189</v>
      </c>
      <c r="P573" s="610">
        <v>100.26816000000001</v>
      </c>
      <c r="Q573" s="141">
        <f t="shared" si="18"/>
        <v>0</v>
      </c>
    </row>
    <row r="574" spans="1:17" ht="31.5">
      <c r="A574" s="136" t="s">
        <v>2683</v>
      </c>
      <c r="B574" s="137" t="s">
        <v>2686</v>
      </c>
      <c r="C574" s="138" t="s">
        <v>1007</v>
      </c>
      <c r="D574" s="138" t="s">
        <v>975</v>
      </c>
      <c r="E574" s="136" t="s">
        <v>1571</v>
      </c>
      <c r="F574" s="419">
        <v>43100</v>
      </c>
      <c r="G574" s="140">
        <v>1103.93505</v>
      </c>
      <c r="H574" s="140">
        <v>6</v>
      </c>
      <c r="I574" s="143" t="s">
        <v>189</v>
      </c>
      <c r="J574" s="140">
        <v>43.056659999999994</v>
      </c>
      <c r="K574" s="140">
        <v>502.35658000000001</v>
      </c>
      <c r="L574" s="140">
        <v>545.41323999999997</v>
      </c>
      <c r="M574" s="143" t="s">
        <v>189</v>
      </c>
      <c r="N574" s="140">
        <v>3</v>
      </c>
      <c r="P574" s="608">
        <v>502.35658000000001</v>
      </c>
      <c r="Q574" s="141">
        <f t="shared" si="18"/>
        <v>0</v>
      </c>
    </row>
    <row r="575" spans="1:17" ht="31.5">
      <c r="A575" s="138" t="s">
        <v>2685</v>
      </c>
      <c r="B575" s="135" t="s">
        <v>2688</v>
      </c>
      <c r="C575" s="136" t="s">
        <v>879</v>
      </c>
      <c r="D575" s="136" t="s">
        <v>811</v>
      </c>
      <c r="E575" s="138" t="s">
        <v>1571</v>
      </c>
      <c r="F575" s="420">
        <v>43100</v>
      </c>
      <c r="G575" s="141">
        <v>1102.6667299999999</v>
      </c>
      <c r="H575" s="141">
        <v>4</v>
      </c>
      <c r="I575" s="141">
        <v>0.65058000000000005</v>
      </c>
      <c r="J575" s="141">
        <v>5.5101800000000001</v>
      </c>
      <c r="K575" s="141">
        <v>154.27268000000001</v>
      </c>
      <c r="L575" s="141">
        <v>171.47134</v>
      </c>
      <c r="M575" s="142" t="s">
        <v>189</v>
      </c>
      <c r="N575" s="142" t="s">
        <v>189</v>
      </c>
      <c r="P575" s="610">
        <v>154.27268000000001</v>
      </c>
      <c r="Q575" s="141">
        <f t="shared" si="18"/>
        <v>0</v>
      </c>
    </row>
    <row r="576" spans="1:17" ht="31.5">
      <c r="A576" s="136" t="s">
        <v>2687</v>
      </c>
      <c r="B576" s="137" t="s">
        <v>2690</v>
      </c>
      <c r="C576" s="138" t="s">
        <v>886</v>
      </c>
      <c r="D576" s="138" t="s">
        <v>811</v>
      </c>
      <c r="E576" s="136" t="s">
        <v>1571</v>
      </c>
      <c r="F576" s="419">
        <v>43100</v>
      </c>
      <c r="G576" s="140">
        <v>1091.4028900000001</v>
      </c>
      <c r="H576" s="140">
        <v>21</v>
      </c>
      <c r="I576" s="143" t="s">
        <v>189</v>
      </c>
      <c r="J576" s="140">
        <v>34.533229999999996</v>
      </c>
      <c r="K576" s="140">
        <v>499.13846000000001</v>
      </c>
      <c r="L576" s="140">
        <v>602.95606999999995</v>
      </c>
      <c r="M576" s="140">
        <v>1</v>
      </c>
      <c r="N576" s="140">
        <v>7</v>
      </c>
      <c r="O576" s="211">
        <f t="shared" si="17"/>
        <v>0.125</v>
      </c>
      <c r="P576" s="608">
        <v>499.13846000000001</v>
      </c>
      <c r="Q576" s="141">
        <f t="shared" si="18"/>
        <v>62.392307500000001</v>
      </c>
    </row>
    <row r="577" spans="1:17" ht="21">
      <c r="A577" s="138" t="s">
        <v>2689</v>
      </c>
      <c r="B577" s="135" t="s">
        <v>2692</v>
      </c>
      <c r="C577" s="136" t="s">
        <v>1246</v>
      </c>
      <c r="D577" s="136" t="s">
        <v>1235</v>
      </c>
      <c r="E577" s="138" t="s">
        <v>1571</v>
      </c>
      <c r="F577" s="420">
        <v>43100</v>
      </c>
      <c r="G577" s="141">
        <v>1081.2831090000002</v>
      </c>
      <c r="H577" s="141">
        <v>17</v>
      </c>
      <c r="I577" s="141">
        <v>16.10791</v>
      </c>
      <c r="J577" s="141">
        <v>-33.871229999999997</v>
      </c>
      <c r="K577" s="141">
        <v>492.81939</v>
      </c>
      <c r="L577" s="141">
        <v>483.00975</v>
      </c>
      <c r="M577" s="142" t="s">
        <v>189</v>
      </c>
      <c r="N577" s="142" t="s">
        <v>189</v>
      </c>
      <c r="P577" s="610">
        <v>492.81939</v>
      </c>
      <c r="Q577" s="141">
        <f t="shared" si="18"/>
        <v>0</v>
      </c>
    </row>
    <row r="578" spans="1:17" ht="31.5">
      <c r="A578" s="136" t="s">
        <v>2691</v>
      </c>
      <c r="B578" s="139" t="s">
        <v>2694</v>
      </c>
      <c r="C578" s="138" t="s">
        <v>1001</v>
      </c>
      <c r="D578" s="138" t="s">
        <v>975</v>
      </c>
      <c r="E578" s="136" t="s">
        <v>1571</v>
      </c>
      <c r="F578" s="419">
        <v>43100</v>
      </c>
      <c r="G578" s="140">
        <v>1058.7925400000001</v>
      </c>
      <c r="H578" s="140">
        <v>7</v>
      </c>
      <c r="I578" s="140">
        <v>6.0888999999999998</v>
      </c>
      <c r="J578" s="140">
        <v>51.451070000000001</v>
      </c>
      <c r="K578" s="140">
        <v>311.52001000000001</v>
      </c>
      <c r="L578" s="140">
        <v>390.10465999999997</v>
      </c>
      <c r="M578" s="143" t="s">
        <v>189</v>
      </c>
      <c r="N578" s="143" t="s">
        <v>189</v>
      </c>
      <c r="P578" s="608">
        <v>311.52001000000001</v>
      </c>
      <c r="Q578" s="141">
        <f t="shared" si="18"/>
        <v>0</v>
      </c>
    </row>
    <row r="579" spans="1:17" ht="21">
      <c r="A579" s="138" t="s">
        <v>2693</v>
      </c>
      <c r="B579" s="135" t="s">
        <v>2696</v>
      </c>
      <c r="C579" s="136" t="s">
        <v>1530</v>
      </c>
      <c r="D579" s="136" t="s">
        <v>1501</v>
      </c>
      <c r="E579" s="138" t="s">
        <v>1571</v>
      </c>
      <c r="F579" s="420">
        <v>41639</v>
      </c>
      <c r="G579" s="141">
        <v>1055.2673790000001</v>
      </c>
      <c r="H579" s="141">
        <v>10</v>
      </c>
      <c r="I579" s="141"/>
      <c r="J579" s="141">
        <v>-136.10314000000002</v>
      </c>
      <c r="K579" s="141">
        <v>303.95578000000006</v>
      </c>
      <c r="L579" s="141">
        <v>558.54189000000008</v>
      </c>
      <c r="M579" s="141">
        <v>3</v>
      </c>
      <c r="N579" s="141">
        <v>13</v>
      </c>
      <c r="O579" s="211">
        <f t="shared" si="17"/>
        <v>0.1875</v>
      </c>
      <c r="P579" s="610">
        <v>303.95578000000006</v>
      </c>
      <c r="Q579" s="141">
        <f t="shared" si="18"/>
        <v>56.991708750000015</v>
      </c>
    </row>
    <row r="580" spans="1:17" ht="21">
      <c r="A580" s="136" t="s">
        <v>2695</v>
      </c>
      <c r="B580" s="137" t="s">
        <v>2698</v>
      </c>
      <c r="C580" s="138" t="s">
        <v>697</v>
      </c>
      <c r="D580" s="138" t="s">
        <v>698</v>
      </c>
      <c r="E580" s="136" t="s">
        <v>1571</v>
      </c>
      <c r="F580" s="419">
        <v>43100</v>
      </c>
      <c r="G580" s="140">
        <v>1039.4438200000002</v>
      </c>
      <c r="H580" s="140">
        <v>10</v>
      </c>
      <c r="I580" s="143" t="s">
        <v>189</v>
      </c>
      <c r="J580" s="140">
        <v>1.75037</v>
      </c>
      <c r="K580" s="140">
        <v>328.37327000000005</v>
      </c>
      <c r="L580" s="140">
        <v>369.00983900000006</v>
      </c>
      <c r="M580" s="143" t="s">
        <v>189</v>
      </c>
      <c r="N580" s="143" t="s">
        <v>189</v>
      </c>
      <c r="P580" s="608">
        <v>328.37327000000005</v>
      </c>
      <c r="Q580" s="141">
        <f t="shared" si="18"/>
        <v>0</v>
      </c>
    </row>
    <row r="581" spans="1:17" ht="21">
      <c r="A581" s="138" t="s">
        <v>2697</v>
      </c>
      <c r="B581" s="135" t="s">
        <v>2700</v>
      </c>
      <c r="C581" s="136" t="s">
        <v>787</v>
      </c>
      <c r="D581" s="136" t="s">
        <v>788</v>
      </c>
      <c r="E581" s="138" t="s">
        <v>1571</v>
      </c>
      <c r="F581" s="420">
        <v>43100</v>
      </c>
      <c r="G581" s="141">
        <v>1036.6970200000001</v>
      </c>
      <c r="H581" s="141">
        <v>9</v>
      </c>
      <c r="I581" s="141"/>
      <c r="J581" s="141">
        <v>-107.37325</v>
      </c>
      <c r="K581" s="141">
        <v>623.61320999999998</v>
      </c>
      <c r="L581" s="141">
        <v>513.72825899999998</v>
      </c>
      <c r="M581" s="142" t="s">
        <v>189</v>
      </c>
      <c r="N581" s="142" t="s">
        <v>189</v>
      </c>
      <c r="P581" s="610">
        <v>623.61320999999998</v>
      </c>
      <c r="Q581" s="141">
        <f t="shared" si="18"/>
        <v>0</v>
      </c>
    </row>
    <row r="582" spans="1:17" ht="21">
      <c r="A582" s="136" t="s">
        <v>2699</v>
      </c>
      <c r="B582" s="137" t="s">
        <v>2702</v>
      </c>
      <c r="C582" s="138" t="s">
        <v>1338</v>
      </c>
      <c r="D582" s="138" t="s">
        <v>1320</v>
      </c>
      <c r="E582" s="136" t="s">
        <v>1571</v>
      </c>
      <c r="F582" s="419">
        <v>42735</v>
      </c>
      <c r="G582" s="140">
        <v>1023.8500799999999</v>
      </c>
      <c r="H582" s="140">
        <v>11</v>
      </c>
      <c r="I582" s="140">
        <v>36.09601</v>
      </c>
      <c r="J582" s="140">
        <v>181.06998999999999</v>
      </c>
      <c r="K582" s="140">
        <v>295.78783000000004</v>
      </c>
      <c r="L582" s="140">
        <v>550.46828999999991</v>
      </c>
      <c r="M582" s="143" t="s">
        <v>189</v>
      </c>
      <c r="N582" s="143" t="s">
        <v>189</v>
      </c>
      <c r="P582" s="608">
        <v>295.78783000000004</v>
      </c>
      <c r="Q582" s="141">
        <f t="shared" si="18"/>
        <v>0</v>
      </c>
    </row>
    <row r="583" spans="1:17" ht="31.5">
      <c r="A583" s="138" t="s">
        <v>2701</v>
      </c>
      <c r="B583" s="135" t="s">
        <v>2704</v>
      </c>
      <c r="C583" s="136" t="s">
        <v>843</v>
      </c>
      <c r="D583" s="136" t="s">
        <v>811</v>
      </c>
      <c r="E583" s="138" t="s">
        <v>1571</v>
      </c>
      <c r="F583" s="420">
        <v>43100</v>
      </c>
      <c r="G583" s="141">
        <v>1017.4021300000001</v>
      </c>
      <c r="H583" s="141">
        <v>33</v>
      </c>
      <c r="I583" s="141">
        <v>2.2590599999999998</v>
      </c>
      <c r="J583" s="141">
        <v>8.3098879999999991</v>
      </c>
      <c r="K583" s="141">
        <v>848.16615000000002</v>
      </c>
      <c r="L583" s="141">
        <v>875.91263800000002</v>
      </c>
      <c r="M583" s="142" t="s">
        <v>189</v>
      </c>
      <c r="N583" s="142" t="s">
        <v>189</v>
      </c>
      <c r="P583" s="610">
        <v>848.16615000000002</v>
      </c>
      <c r="Q583" s="141">
        <f t="shared" si="18"/>
        <v>0</v>
      </c>
    </row>
    <row r="584" spans="1:17" ht="21">
      <c r="A584" s="136" t="s">
        <v>2703</v>
      </c>
      <c r="B584" s="137" t="s">
        <v>2706</v>
      </c>
      <c r="C584" s="138" t="s">
        <v>660</v>
      </c>
      <c r="D584" s="138" t="s">
        <v>1595</v>
      </c>
      <c r="E584" s="136" t="s">
        <v>1571</v>
      </c>
      <c r="F584" s="419">
        <v>43100</v>
      </c>
      <c r="G584" s="140">
        <v>1015.90439</v>
      </c>
      <c r="H584" s="140">
        <v>15</v>
      </c>
      <c r="I584" s="143" t="s">
        <v>189</v>
      </c>
      <c r="J584" s="140">
        <v>-3.2738300000000002</v>
      </c>
      <c r="K584" s="140">
        <v>551.91797999999994</v>
      </c>
      <c r="L584" s="140">
        <v>574.12677999999994</v>
      </c>
      <c r="M584" s="143" t="s">
        <v>189</v>
      </c>
      <c r="N584" s="143" t="s">
        <v>189</v>
      </c>
      <c r="P584" s="608">
        <v>551.91797999999994</v>
      </c>
      <c r="Q584" s="141">
        <f t="shared" si="18"/>
        <v>0</v>
      </c>
    </row>
    <row r="585" spans="1:17" ht="31.5">
      <c r="A585" s="138" t="s">
        <v>2705</v>
      </c>
      <c r="B585" s="135" t="s">
        <v>2708</v>
      </c>
      <c r="C585" s="136" t="s">
        <v>1394</v>
      </c>
      <c r="D585" s="136" t="s">
        <v>1393</v>
      </c>
      <c r="E585" s="138" t="s">
        <v>1571</v>
      </c>
      <c r="F585" s="420">
        <v>43100</v>
      </c>
      <c r="G585" s="141">
        <v>1003.9183889999999</v>
      </c>
      <c r="H585" s="141">
        <v>20</v>
      </c>
      <c r="I585" s="141">
        <v>6.28</v>
      </c>
      <c r="J585" s="141">
        <v>19.886659999999999</v>
      </c>
      <c r="K585" s="141">
        <v>597.40188000000001</v>
      </c>
      <c r="L585" s="141">
        <v>807.84826999999996</v>
      </c>
      <c r="M585" s="142" t="s">
        <v>189</v>
      </c>
      <c r="N585" s="142" t="s">
        <v>189</v>
      </c>
      <c r="P585" s="610">
        <v>597.40188000000001</v>
      </c>
      <c r="Q585" s="141">
        <f t="shared" si="18"/>
        <v>0</v>
      </c>
    </row>
    <row r="586" spans="1:17" ht="31.5">
      <c r="A586" s="136" t="s">
        <v>2707</v>
      </c>
      <c r="B586" s="137" t="s">
        <v>2710</v>
      </c>
      <c r="C586" s="138" t="s">
        <v>618</v>
      </c>
      <c r="D586" s="138" t="s">
        <v>596</v>
      </c>
      <c r="E586" s="136" t="s">
        <v>1571</v>
      </c>
      <c r="F586" s="419">
        <v>43100</v>
      </c>
      <c r="G586" s="140">
        <v>999.95298000000003</v>
      </c>
      <c r="H586" s="140">
        <v>12</v>
      </c>
      <c r="I586" s="143" t="s">
        <v>189</v>
      </c>
      <c r="J586" s="140">
        <v>186.00343000000001</v>
      </c>
      <c r="K586" s="140">
        <v>442.97492000000005</v>
      </c>
      <c r="L586" s="140">
        <v>678.68500000000006</v>
      </c>
      <c r="M586" s="143" t="s">
        <v>189</v>
      </c>
      <c r="N586" s="143" t="s">
        <v>189</v>
      </c>
      <c r="P586" s="608">
        <v>442.97492000000005</v>
      </c>
      <c r="Q586" s="141">
        <f t="shared" si="18"/>
        <v>0</v>
      </c>
    </row>
    <row r="587" spans="1:17" ht="31.5">
      <c r="A587" s="138" t="s">
        <v>2709</v>
      </c>
      <c r="B587" s="135" t="s">
        <v>2712</v>
      </c>
      <c r="C587" s="136" t="s">
        <v>1209</v>
      </c>
      <c r="D587" s="136" t="s">
        <v>1208</v>
      </c>
      <c r="E587" s="138" t="s">
        <v>1571</v>
      </c>
      <c r="F587" s="420">
        <v>42735</v>
      </c>
      <c r="G587" s="141">
        <v>999.61677999999995</v>
      </c>
      <c r="H587" s="141">
        <v>3</v>
      </c>
      <c r="I587" s="141">
        <v>3.0969100000000003</v>
      </c>
      <c r="J587" s="141">
        <v>32.365139999999997</v>
      </c>
      <c r="K587" s="141">
        <v>133.28482899999997</v>
      </c>
      <c r="L587" s="141">
        <v>205.80738899999997</v>
      </c>
      <c r="M587" s="142" t="s">
        <v>189</v>
      </c>
      <c r="N587" s="142" t="s">
        <v>189</v>
      </c>
      <c r="P587" s="610">
        <v>133.28482899999997</v>
      </c>
      <c r="Q587" s="141">
        <f t="shared" si="18"/>
        <v>0</v>
      </c>
    </row>
    <row r="588" spans="1:17" ht="31.5">
      <c r="A588" s="136" t="s">
        <v>2711</v>
      </c>
      <c r="B588" s="137" t="s">
        <v>2714</v>
      </c>
      <c r="C588" s="138" t="s">
        <v>1458</v>
      </c>
      <c r="D588" s="138" t="s">
        <v>1456</v>
      </c>
      <c r="E588" s="136" t="s">
        <v>1571</v>
      </c>
      <c r="F588" s="419">
        <v>43100</v>
      </c>
      <c r="G588" s="140">
        <v>998.55132000000003</v>
      </c>
      <c r="H588" s="140">
        <v>14</v>
      </c>
      <c r="I588" s="143" t="s">
        <v>189</v>
      </c>
      <c r="J588" s="140">
        <v>1.62094</v>
      </c>
      <c r="K588" s="140">
        <v>442.76821000000001</v>
      </c>
      <c r="L588" s="140">
        <v>487.23663999999997</v>
      </c>
      <c r="M588" s="143" t="s">
        <v>189</v>
      </c>
      <c r="N588" s="143" t="s">
        <v>189</v>
      </c>
      <c r="P588" s="608">
        <v>442.76821000000001</v>
      </c>
      <c r="Q588" s="141">
        <f t="shared" si="18"/>
        <v>0</v>
      </c>
    </row>
    <row r="589" spans="1:17" ht="42">
      <c r="A589" s="138" t="s">
        <v>2713</v>
      </c>
      <c r="B589" s="135" t="s">
        <v>2716</v>
      </c>
      <c r="C589" s="136" t="s">
        <v>1421</v>
      </c>
      <c r="D589" s="136" t="s">
        <v>1419</v>
      </c>
      <c r="E589" s="138" t="s">
        <v>1571</v>
      </c>
      <c r="F589" s="420">
        <v>43100</v>
      </c>
      <c r="G589" s="141">
        <v>998.06594000000007</v>
      </c>
      <c r="H589" s="141">
        <v>13</v>
      </c>
      <c r="I589" s="141">
        <v>25.303990000000002</v>
      </c>
      <c r="J589" s="141">
        <v>124.7608</v>
      </c>
      <c r="K589" s="141">
        <v>560.77574000000004</v>
      </c>
      <c r="L589" s="141">
        <v>714.48208999999997</v>
      </c>
      <c r="M589" s="142" t="s">
        <v>189</v>
      </c>
      <c r="N589" s="142" t="s">
        <v>189</v>
      </c>
      <c r="P589" s="610">
        <v>560.77574000000004</v>
      </c>
      <c r="Q589" s="141">
        <f t="shared" si="18"/>
        <v>0</v>
      </c>
    </row>
    <row r="590" spans="1:17" ht="31.5">
      <c r="A590" s="136" t="s">
        <v>2715</v>
      </c>
      <c r="B590" s="137" t="s">
        <v>2718</v>
      </c>
      <c r="C590" s="138" t="s">
        <v>807</v>
      </c>
      <c r="D590" s="138" t="s">
        <v>800</v>
      </c>
      <c r="E590" s="136" t="s">
        <v>1571</v>
      </c>
      <c r="F590" s="419">
        <v>43100</v>
      </c>
      <c r="G590" s="140">
        <v>997.75896999999998</v>
      </c>
      <c r="H590" s="140">
        <v>8</v>
      </c>
      <c r="I590" s="143" t="s">
        <v>189</v>
      </c>
      <c r="J590" s="140">
        <v>-6.8433700000000002</v>
      </c>
      <c r="K590" s="140">
        <v>232.83807000000002</v>
      </c>
      <c r="L590" s="140">
        <v>226.46597999999997</v>
      </c>
      <c r="M590" s="143" t="s">
        <v>189</v>
      </c>
      <c r="N590" s="143" t="s">
        <v>189</v>
      </c>
      <c r="P590" s="608">
        <v>232.83807000000002</v>
      </c>
      <c r="Q590" s="141">
        <f t="shared" si="18"/>
        <v>0</v>
      </c>
    </row>
    <row r="591" spans="1:17" ht="52.5">
      <c r="A591" s="138" t="s">
        <v>2717</v>
      </c>
      <c r="B591" s="135" t="s">
        <v>2720</v>
      </c>
      <c r="C591" s="136" t="s">
        <v>1345</v>
      </c>
      <c r="D591" s="136" t="s">
        <v>2721</v>
      </c>
      <c r="E591" s="138" t="s">
        <v>1571</v>
      </c>
      <c r="F591" s="420">
        <v>43039</v>
      </c>
      <c r="G591" s="141">
        <v>997.65919999999994</v>
      </c>
      <c r="H591" s="141">
        <v>9</v>
      </c>
      <c r="I591" s="141"/>
      <c r="J591" s="141">
        <v>-45.808550000000004</v>
      </c>
      <c r="K591" s="141">
        <v>435.49157000000002</v>
      </c>
      <c r="L591" s="141">
        <v>469.19533999999999</v>
      </c>
      <c r="M591" s="142" t="s">
        <v>189</v>
      </c>
      <c r="N591" s="142" t="s">
        <v>189</v>
      </c>
      <c r="P591" s="610">
        <v>435.49157000000002</v>
      </c>
      <c r="Q591" s="141">
        <f t="shared" si="18"/>
        <v>0</v>
      </c>
    </row>
    <row r="592" spans="1:17" ht="21">
      <c r="A592" s="136" t="s">
        <v>2719</v>
      </c>
      <c r="B592" s="137" t="s">
        <v>2723</v>
      </c>
      <c r="C592" s="138" t="s">
        <v>1182</v>
      </c>
      <c r="D592" s="138" t="s">
        <v>1168</v>
      </c>
      <c r="E592" s="136" t="s">
        <v>1571</v>
      </c>
      <c r="F592" s="419">
        <v>42735</v>
      </c>
      <c r="G592" s="140">
        <v>990.88906000000009</v>
      </c>
      <c r="H592" s="143" t="s">
        <v>189</v>
      </c>
      <c r="I592" s="140">
        <v>12.118020000000001</v>
      </c>
      <c r="J592" s="140">
        <v>34.853830000000002</v>
      </c>
      <c r="K592" s="140">
        <v>378.37307000000004</v>
      </c>
      <c r="L592" s="140">
        <v>485.31474000000003</v>
      </c>
      <c r="M592" s="140">
        <v>1</v>
      </c>
      <c r="N592" s="140">
        <v>12</v>
      </c>
      <c r="O592" s="211">
        <f t="shared" si="17"/>
        <v>7.6923076923076927E-2</v>
      </c>
      <c r="P592" s="608">
        <v>378.37307000000004</v>
      </c>
      <c r="Q592" s="141">
        <f t="shared" si="18"/>
        <v>29.105620769230775</v>
      </c>
    </row>
    <row r="593" spans="1:17" ht="31.5">
      <c r="A593" s="138" t="s">
        <v>2722</v>
      </c>
      <c r="B593" s="135" t="s">
        <v>2725</v>
      </c>
      <c r="C593" s="136" t="s">
        <v>924</v>
      </c>
      <c r="D593" s="136" t="s">
        <v>811</v>
      </c>
      <c r="E593" s="138" t="s">
        <v>1571</v>
      </c>
      <c r="F593" s="420">
        <v>43100</v>
      </c>
      <c r="G593" s="141">
        <v>989.52840900000001</v>
      </c>
      <c r="H593" s="141">
        <v>5</v>
      </c>
      <c r="I593" s="141">
        <v>36.710699999999996</v>
      </c>
      <c r="J593" s="141">
        <v>116.25055</v>
      </c>
      <c r="K593" s="141">
        <v>278.87771000000004</v>
      </c>
      <c r="L593" s="141">
        <v>653.27478999999994</v>
      </c>
      <c r="M593" s="142" t="s">
        <v>189</v>
      </c>
      <c r="N593" s="142" t="s">
        <v>189</v>
      </c>
      <c r="P593" s="610">
        <v>278.87771000000004</v>
      </c>
      <c r="Q593" s="141">
        <f t="shared" si="18"/>
        <v>0</v>
      </c>
    </row>
    <row r="594" spans="1:17">
      <c r="A594" s="136" t="s">
        <v>2724</v>
      </c>
      <c r="B594" s="137" t="s">
        <v>2727</v>
      </c>
      <c r="C594" s="138" t="s">
        <v>1218</v>
      </c>
      <c r="D594" s="138" t="s">
        <v>1215</v>
      </c>
      <c r="E594" s="136" t="s">
        <v>1571</v>
      </c>
      <c r="F594" s="419">
        <v>42735</v>
      </c>
      <c r="G594" s="140">
        <v>972.84489000000008</v>
      </c>
      <c r="H594" s="140">
        <v>4</v>
      </c>
      <c r="I594" s="140"/>
      <c r="J594" s="140">
        <v>-37.405000000000001</v>
      </c>
      <c r="K594" s="140">
        <v>233.06339</v>
      </c>
      <c r="L594" s="140">
        <v>235.1798</v>
      </c>
      <c r="M594" s="143" t="s">
        <v>189</v>
      </c>
      <c r="N594" s="143" t="s">
        <v>189</v>
      </c>
      <c r="P594" s="608">
        <v>233.06339</v>
      </c>
      <c r="Q594" s="141">
        <f t="shared" si="18"/>
        <v>0</v>
      </c>
    </row>
    <row r="595" spans="1:17" ht="31.5">
      <c r="A595" s="138" t="s">
        <v>2726</v>
      </c>
      <c r="B595" s="135" t="s">
        <v>2729</v>
      </c>
      <c r="C595" s="136" t="s">
        <v>803</v>
      </c>
      <c r="D595" s="136" t="s">
        <v>800</v>
      </c>
      <c r="E595" s="138" t="s">
        <v>1571</v>
      </c>
      <c r="F595" s="420">
        <v>42735</v>
      </c>
      <c r="G595" s="141">
        <v>957.70467999999994</v>
      </c>
      <c r="H595" s="142" t="s">
        <v>189</v>
      </c>
      <c r="I595" s="141">
        <v>0.61987000000000003</v>
      </c>
      <c r="J595" s="141">
        <v>5.5787800000000001</v>
      </c>
      <c r="K595" s="141">
        <v>380.06357000000003</v>
      </c>
      <c r="L595" s="141">
        <v>438.57393000000008</v>
      </c>
      <c r="M595" s="142" t="s">
        <v>189</v>
      </c>
      <c r="N595" s="142" t="s">
        <v>189</v>
      </c>
      <c r="P595" s="610">
        <v>380.06357000000003</v>
      </c>
      <c r="Q595" s="141">
        <f t="shared" si="18"/>
        <v>0</v>
      </c>
    </row>
    <row r="596" spans="1:17" ht="31.5">
      <c r="A596" s="136" t="s">
        <v>2728</v>
      </c>
      <c r="B596" s="137" t="s">
        <v>2731</v>
      </c>
      <c r="C596" s="138" t="s">
        <v>955</v>
      </c>
      <c r="D596" s="138" t="s">
        <v>811</v>
      </c>
      <c r="E596" s="136" t="s">
        <v>1571</v>
      </c>
      <c r="F596" s="419">
        <v>43100</v>
      </c>
      <c r="G596" s="140">
        <v>956.57625000000007</v>
      </c>
      <c r="H596" s="140">
        <v>13</v>
      </c>
      <c r="I596" s="140">
        <v>6.7879500000000004</v>
      </c>
      <c r="J596" s="140">
        <v>37.289659999999998</v>
      </c>
      <c r="K596" s="140">
        <v>449.60429000000005</v>
      </c>
      <c r="L596" s="140">
        <v>530.39141900000004</v>
      </c>
      <c r="M596" s="143" t="s">
        <v>189</v>
      </c>
      <c r="N596" s="143" t="s">
        <v>189</v>
      </c>
      <c r="P596" s="608">
        <v>449.60429000000005</v>
      </c>
      <c r="Q596" s="141">
        <f t="shared" si="18"/>
        <v>0</v>
      </c>
    </row>
    <row r="597" spans="1:17" ht="21">
      <c r="A597" s="138" t="s">
        <v>2730</v>
      </c>
      <c r="B597" s="135" t="s">
        <v>2733</v>
      </c>
      <c r="C597" s="136" t="s">
        <v>1237</v>
      </c>
      <c r="D597" s="136" t="s">
        <v>1235</v>
      </c>
      <c r="E597" s="138" t="s">
        <v>1571</v>
      </c>
      <c r="F597" s="420">
        <v>43100</v>
      </c>
      <c r="G597" s="141">
        <v>956.43604000000005</v>
      </c>
      <c r="H597" s="141">
        <v>13</v>
      </c>
      <c r="I597" s="141">
        <v>6.3972600000000002</v>
      </c>
      <c r="J597" s="141">
        <v>11.900879999999999</v>
      </c>
      <c r="K597" s="141">
        <v>502.96364999999997</v>
      </c>
      <c r="L597" s="141">
        <v>526.08282000000008</v>
      </c>
      <c r="M597" s="142" t="s">
        <v>189</v>
      </c>
      <c r="N597" s="142" t="s">
        <v>189</v>
      </c>
      <c r="P597" s="610">
        <v>502.96364999999997</v>
      </c>
      <c r="Q597" s="141">
        <f t="shared" si="18"/>
        <v>0</v>
      </c>
    </row>
    <row r="598" spans="1:17" ht="42">
      <c r="A598" s="136" t="s">
        <v>2732</v>
      </c>
      <c r="B598" s="137" t="s">
        <v>2735</v>
      </c>
      <c r="C598" s="138" t="s">
        <v>1198</v>
      </c>
      <c r="D598" s="138" t="s">
        <v>1197</v>
      </c>
      <c r="E598" s="136" t="s">
        <v>1571</v>
      </c>
      <c r="F598" s="419">
        <v>43100</v>
      </c>
      <c r="G598" s="140">
        <v>951.05858000000001</v>
      </c>
      <c r="H598" s="140">
        <v>7</v>
      </c>
      <c r="I598" s="140"/>
      <c r="J598" s="140">
        <v>7.6286600000000009</v>
      </c>
      <c r="K598" s="140">
        <v>387.52391000000006</v>
      </c>
      <c r="L598" s="140">
        <v>429.30673000000007</v>
      </c>
      <c r="M598" s="143" t="s">
        <v>189</v>
      </c>
      <c r="N598" s="140">
        <v>3</v>
      </c>
      <c r="P598" s="608">
        <v>387.52391000000006</v>
      </c>
      <c r="Q598" s="141">
        <f t="shared" si="18"/>
        <v>0</v>
      </c>
    </row>
    <row r="599" spans="1:17" ht="21">
      <c r="A599" s="138" t="s">
        <v>2734</v>
      </c>
      <c r="B599" s="135" t="s">
        <v>2737</v>
      </c>
      <c r="C599" s="136" t="s">
        <v>1099</v>
      </c>
      <c r="D599" s="136" t="s">
        <v>969</v>
      </c>
      <c r="E599" s="138" t="s">
        <v>1571</v>
      </c>
      <c r="F599" s="420">
        <v>43100</v>
      </c>
      <c r="G599" s="141">
        <v>950.26176999999996</v>
      </c>
      <c r="H599" s="141">
        <v>2</v>
      </c>
      <c r="I599" s="141">
        <v>12.08859</v>
      </c>
      <c r="J599" s="141">
        <v>76.393640000000005</v>
      </c>
      <c r="K599" s="141">
        <v>171.77492999999998</v>
      </c>
      <c r="L599" s="141">
        <v>292.60331000000002</v>
      </c>
      <c r="M599" s="142" t="s">
        <v>189</v>
      </c>
      <c r="N599" s="142" t="s">
        <v>189</v>
      </c>
      <c r="P599" s="610">
        <v>171.77492999999998</v>
      </c>
      <c r="Q599" s="141">
        <f t="shared" si="18"/>
        <v>0</v>
      </c>
    </row>
    <row r="600" spans="1:17" ht="31.5">
      <c r="A600" s="136" t="s">
        <v>2736</v>
      </c>
      <c r="B600" s="137" t="s">
        <v>2739</v>
      </c>
      <c r="C600" s="138" t="s">
        <v>682</v>
      </c>
      <c r="D600" s="138" t="s">
        <v>681</v>
      </c>
      <c r="E600" s="136" t="s">
        <v>1571</v>
      </c>
      <c r="F600" s="419">
        <v>43100</v>
      </c>
      <c r="G600" s="140">
        <v>946.50727999999992</v>
      </c>
      <c r="H600" s="140">
        <v>9</v>
      </c>
      <c r="I600" s="140">
        <v>17.194220000000001</v>
      </c>
      <c r="J600" s="140">
        <v>58.632059999999996</v>
      </c>
      <c r="K600" s="140">
        <v>442.74468000000002</v>
      </c>
      <c r="L600" s="140">
        <v>602.71011999999996</v>
      </c>
      <c r="M600" s="143" t="s">
        <v>189</v>
      </c>
      <c r="N600" s="143" t="s">
        <v>189</v>
      </c>
      <c r="P600" s="608">
        <v>442.74468000000002</v>
      </c>
      <c r="Q600" s="141">
        <f t="shared" si="18"/>
        <v>0</v>
      </c>
    </row>
    <row r="601" spans="1:17" ht="21">
      <c r="A601" s="138" t="s">
        <v>2738</v>
      </c>
      <c r="B601" s="135" t="s">
        <v>2741</v>
      </c>
      <c r="C601" s="136" t="s">
        <v>1342</v>
      </c>
      <c r="D601" s="136" t="s">
        <v>1341</v>
      </c>
      <c r="E601" s="138" t="s">
        <v>1571</v>
      </c>
      <c r="F601" s="420">
        <v>43100</v>
      </c>
      <c r="G601" s="141">
        <v>946.42886999999996</v>
      </c>
      <c r="H601" s="141">
        <v>4</v>
      </c>
      <c r="I601" s="141">
        <v>50.698360000000001</v>
      </c>
      <c r="J601" s="141">
        <v>189.84743</v>
      </c>
      <c r="K601" s="141">
        <v>290.29786000000001</v>
      </c>
      <c r="L601" s="141">
        <v>536.11352899999997</v>
      </c>
      <c r="M601" s="142" t="s">
        <v>189</v>
      </c>
      <c r="N601" s="142" t="s">
        <v>189</v>
      </c>
      <c r="P601" s="610">
        <v>290.29786000000001</v>
      </c>
      <c r="Q601" s="141">
        <f t="shared" si="18"/>
        <v>0</v>
      </c>
    </row>
    <row r="602" spans="1:17" ht="21">
      <c r="A602" s="136" t="s">
        <v>2740</v>
      </c>
      <c r="B602" s="137" t="s">
        <v>2743</v>
      </c>
      <c r="C602" s="138" t="s">
        <v>1319</v>
      </c>
      <c r="D602" s="138" t="s">
        <v>1320</v>
      </c>
      <c r="E602" s="136" t="s">
        <v>1571</v>
      </c>
      <c r="F602" s="419">
        <v>43100</v>
      </c>
      <c r="G602" s="140">
        <v>941.19034000000011</v>
      </c>
      <c r="H602" s="140">
        <v>12</v>
      </c>
      <c r="I602" s="140">
        <v>11.040100000000001</v>
      </c>
      <c r="J602" s="140">
        <v>50.590600000000002</v>
      </c>
      <c r="K602" s="140">
        <v>323.28591000000006</v>
      </c>
      <c r="L602" s="140">
        <v>405.11538000000002</v>
      </c>
      <c r="M602" s="143" t="s">
        <v>189</v>
      </c>
      <c r="N602" s="143" t="s">
        <v>189</v>
      </c>
      <c r="P602" s="608">
        <v>323.28591000000006</v>
      </c>
      <c r="Q602" s="141">
        <f t="shared" si="18"/>
        <v>0</v>
      </c>
    </row>
    <row r="603" spans="1:17" ht="31.5">
      <c r="A603" s="138" t="s">
        <v>2742</v>
      </c>
      <c r="B603" s="135" t="s">
        <v>2745</v>
      </c>
      <c r="C603" s="136" t="s">
        <v>928</v>
      </c>
      <c r="D603" s="136" t="s">
        <v>811</v>
      </c>
      <c r="E603" s="138" t="s">
        <v>1571</v>
      </c>
      <c r="F603" s="420">
        <v>43100</v>
      </c>
      <c r="G603" s="141">
        <v>940.08524999999997</v>
      </c>
      <c r="H603" s="141">
        <v>3</v>
      </c>
      <c r="I603" s="141">
        <v>96.816670000000016</v>
      </c>
      <c r="J603" s="141">
        <v>247.14161000000001</v>
      </c>
      <c r="K603" s="141">
        <v>115.488</v>
      </c>
      <c r="L603" s="141">
        <v>459.59368000000001</v>
      </c>
      <c r="M603" s="142" t="s">
        <v>189</v>
      </c>
      <c r="N603" s="142" t="s">
        <v>189</v>
      </c>
      <c r="P603" s="610">
        <v>115.488</v>
      </c>
      <c r="Q603" s="141">
        <f t="shared" si="18"/>
        <v>0</v>
      </c>
    </row>
    <row r="604" spans="1:17" ht="21">
      <c r="A604" s="136" t="s">
        <v>2744</v>
      </c>
      <c r="B604" s="137" t="s">
        <v>2747</v>
      </c>
      <c r="C604" s="138" t="s">
        <v>1386</v>
      </c>
      <c r="D604" s="138" t="s">
        <v>811</v>
      </c>
      <c r="E604" s="136" t="s">
        <v>1571</v>
      </c>
      <c r="F604" s="419">
        <v>43100</v>
      </c>
      <c r="G604" s="140">
        <v>934.24637000000007</v>
      </c>
      <c r="H604" s="140">
        <v>6</v>
      </c>
      <c r="I604" s="140">
        <v>7.5452900000000005</v>
      </c>
      <c r="J604" s="140">
        <v>21.61853</v>
      </c>
      <c r="K604" s="140">
        <v>206.05161999999999</v>
      </c>
      <c r="L604" s="140">
        <v>237.69091</v>
      </c>
      <c r="M604" s="140">
        <v>5.58</v>
      </c>
      <c r="N604" s="140">
        <v>9.15</v>
      </c>
      <c r="O604" s="211">
        <f t="shared" ref="O604:O667" si="19">M604/(M604+N604)</f>
        <v>0.37881873727087578</v>
      </c>
      <c r="P604" s="608">
        <v>206.05161999999999</v>
      </c>
      <c r="Q604" s="141">
        <f t="shared" si="18"/>
        <v>78.056214501018331</v>
      </c>
    </row>
    <row r="605" spans="1:17" ht="42">
      <c r="A605" s="138" t="s">
        <v>2746</v>
      </c>
      <c r="B605" s="421" t="s">
        <v>2749</v>
      </c>
      <c r="C605" s="136" t="s">
        <v>1204</v>
      </c>
      <c r="D605" s="136" t="s">
        <v>1203</v>
      </c>
      <c r="E605" s="138" t="s">
        <v>1571</v>
      </c>
      <c r="F605" s="420">
        <v>43100</v>
      </c>
      <c r="G605" s="141">
        <v>933.0668300000001</v>
      </c>
      <c r="H605" s="141">
        <v>15</v>
      </c>
      <c r="I605" s="141">
        <v>-2.7730000000000001E-2</v>
      </c>
      <c r="J605" s="141">
        <v>-12.89992</v>
      </c>
      <c r="K605" s="141">
        <v>449.61094000000003</v>
      </c>
      <c r="L605" s="141">
        <v>543.68379899999991</v>
      </c>
      <c r="M605" s="142" t="s">
        <v>189</v>
      </c>
      <c r="N605" s="142" t="s">
        <v>189</v>
      </c>
      <c r="P605" s="610">
        <v>449.61094000000003</v>
      </c>
      <c r="Q605" s="141">
        <f t="shared" si="18"/>
        <v>0</v>
      </c>
    </row>
    <row r="606" spans="1:17" ht="21">
      <c r="A606" s="136" t="s">
        <v>2748</v>
      </c>
      <c r="B606" s="137" t="s">
        <v>2751</v>
      </c>
      <c r="C606" s="138" t="s">
        <v>801</v>
      </c>
      <c r="D606" s="138" t="s">
        <v>800</v>
      </c>
      <c r="E606" s="136" t="s">
        <v>1571</v>
      </c>
      <c r="F606" s="419">
        <v>42004</v>
      </c>
      <c r="G606" s="140">
        <v>923.61824000000001</v>
      </c>
      <c r="H606" s="140">
        <v>6</v>
      </c>
      <c r="I606" s="140">
        <v>4.1082600000000005</v>
      </c>
      <c r="J606" s="140">
        <v>13.00948</v>
      </c>
      <c r="K606" s="140">
        <v>256.05002000000002</v>
      </c>
      <c r="L606" s="140">
        <v>274.53828000000004</v>
      </c>
      <c r="M606" s="140">
        <v>1</v>
      </c>
      <c r="N606" s="140">
        <v>18</v>
      </c>
      <c r="O606" s="211">
        <f t="shared" si="19"/>
        <v>5.2631578947368418E-2</v>
      </c>
      <c r="P606" s="608">
        <v>256.05002000000002</v>
      </c>
      <c r="Q606" s="141">
        <f t="shared" si="18"/>
        <v>13.476316842105263</v>
      </c>
    </row>
    <row r="607" spans="1:17" ht="21">
      <c r="A607" s="138" t="s">
        <v>2750</v>
      </c>
      <c r="B607" s="135" t="s">
        <v>2753</v>
      </c>
      <c r="C607" s="136" t="s">
        <v>957</v>
      </c>
      <c r="D607" s="136" t="s">
        <v>811</v>
      </c>
      <c r="E607" s="138" t="s">
        <v>1571</v>
      </c>
      <c r="F607" s="420">
        <v>43100</v>
      </c>
      <c r="G607" s="141">
        <v>914.92280900000003</v>
      </c>
      <c r="H607" s="141">
        <v>9</v>
      </c>
      <c r="I607" s="141">
        <v>11.308</v>
      </c>
      <c r="J607" s="141">
        <v>47.587830000000004</v>
      </c>
      <c r="K607" s="141">
        <v>373.18094000000002</v>
      </c>
      <c r="L607" s="141">
        <v>460.12774999999999</v>
      </c>
      <c r="M607" s="142" t="s">
        <v>189</v>
      </c>
      <c r="N607" s="142" t="s">
        <v>189</v>
      </c>
      <c r="P607" s="610">
        <v>373.18094000000002</v>
      </c>
      <c r="Q607" s="141">
        <f t="shared" si="18"/>
        <v>0</v>
      </c>
    </row>
    <row r="608" spans="1:17" ht="21">
      <c r="A608" s="136" t="s">
        <v>2752</v>
      </c>
      <c r="B608" s="137" t="s">
        <v>2755</v>
      </c>
      <c r="C608" s="138" t="s">
        <v>1298</v>
      </c>
      <c r="D608" s="138" t="s">
        <v>1266</v>
      </c>
      <c r="E608" s="136" t="s">
        <v>1571</v>
      </c>
      <c r="F608" s="419">
        <v>42735</v>
      </c>
      <c r="G608" s="140">
        <v>902.37147000000004</v>
      </c>
      <c r="H608" s="140">
        <v>5</v>
      </c>
      <c r="I608" s="143" t="s">
        <v>189</v>
      </c>
      <c r="J608" s="140">
        <v>-64.590620000000001</v>
      </c>
      <c r="K608" s="140">
        <v>112.27608000000001</v>
      </c>
      <c r="L608" s="140">
        <v>49.93318</v>
      </c>
      <c r="M608" s="143" t="s">
        <v>189</v>
      </c>
      <c r="N608" s="143" t="s">
        <v>189</v>
      </c>
      <c r="P608" s="608">
        <v>112.27608000000001</v>
      </c>
      <c r="Q608" s="141">
        <f t="shared" si="18"/>
        <v>0</v>
      </c>
    </row>
    <row r="609" spans="1:17" ht="21">
      <c r="A609" s="138" t="s">
        <v>2754</v>
      </c>
      <c r="B609" s="135" t="s">
        <v>2757</v>
      </c>
      <c r="C609" s="136" t="s">
        <v>650</v>
      </c>
      <c r="D609" s="136" t="s">
        <v>1622</v>
      </c>
      <c r="E609" s="138" t="s">
        <v>1571</v>
      </c>
      <c r="F609" s="420">
        <v>43100</v>
      </c>
      <c r="G609" s="141">
        <v>899.05230000000006</v>
      </c>
      <c r="H609" s="141">
        <v>13</v>
      </c>
      <c r="I609" s="142" t="s">
        <v>189</v>
      </c>
      <c r="J609" s="141">
        <v>11.74253</v>
      </c>
      <c r="K609" s="141">
        <v>485.41691000000003</v>
      </c>
      <c r="L609" s="141">
        <v>751.42326000000003</v>
      </c>
      <c r="M609" s="141">
        <v>8.0289999999999999</v>
      </c>
      <c r="N609" s="141">
        <v>2.25</v>
      </c>
      <c r="O609" s="211">
        <f t="shared" si="19"/>
        <v>0.78110711158673019</v>
      </c>
      <c r="P609" s="610">
        <v>485.41691000000003</v>
      </c>
      <c r="Q609" s="141">
        <f t="shared" si="18"/>
        <v>379.16260048545581</v>
      </c>
    </row>
    <row r="610" spans="1:17" ht="42">
      <c r="A610" s="136" t="s">
        <v>2756</v>
      </c>
      <c r="B610" s="137" t="s">
        <v>2759</v>
      </c>
      <c r="C610" s="138" t="s">
        <v>1323</v>
      </c>
      <c r="D610" s="138" t="s">
        <v>1320</v>
      </c>
      <c r="E610" s="136" t="s">
        <v>1571</v>
      </c>
      <c r="F610" s="419">
        <v>43008</v>
      </c>
      <c r="G610" s="140">
        <v>894.14696000000015</v>
      </c>
      <c r="H610" s="140">
        <v>14</v>
      </c>
      <c r="I610" s="140">
        <v>10.210190000000001</v>
      </c>
      <c r="J610" s="140">
        <v>58.161540000000002</v>
      </c>
      <c r="K610" s="140">
        <v>659.20301000000006</v>
      </c>
      <c r="L610" s="140">
        <v>728.24530000000004</v>
      </c>
      <c r="M610" s="140">
        <v>1</v>
      </c>
      <c r="N610" s="140">
        <v>5</v>
      </c>
      <c r="O610" s="211">
        <f t="shared" si="19"/>
        <v>0.16666666666666666</v>
      </c>
      <c r="P610" s="608">
        <v>659.20301000000006</v>
      </c>
      <c r="Q610" s="141">
        <f t="shared" ref="Q610:Q673" si="20">O610*P610</f>
        <v>109.86716833333334</v>
      </c>
    </row>
    <row r="611" spans="1:17" ht="42">
      <c r="A611" s="138" t="s">
        <v>2758</v>
      </c>
      <c r="B611" s="135" t="s">
        <v>2761</v>
      </c>
      <c r="C611" s="136" t="s">
        <v>911</v>
      </c>
      <c r="D611" s="136" t="s">
        <v>811</v>
      </c>
      <c r="E611" s="138" t="s">
        <v>1571</v>
      </c>
      <c r="F611" s="420">
        <v>43100</v>
      </c>
      <c r="G611" s="141">
        <v>893.99648000000002</v>
      </c>
      <c r="H611" s="141">
        <v>5</v>
      </c>
      <c r="I611" s="141">
        <v>18.390520000000002</v>
      </c>
      <c r="J611" s="141">
        <v>68.448139999999995</v>
      </c>
      <c r="K611" s="141">
        <v>146.02367999999998</v>
      </c>
      <c r="L611" s="141">
        <v>256.30838</v>
      </c>
      <c r="M611" s="142" t="s">
        <v>189</v>
      </c>
      <c r="N611" s="142" t="s">
        <v>189</v>
      </c>
      <c r="P611" s="610">
        <v>146.02367999999998</v>
      </c>
      <c r="Q611" s="141">
        <f t="shared" si="20"/>
        <v>0</v>
      </c>
    </row>
    <row r="612" spans="1:17">
      <c r="A612" s="136" t="s">
        <v>2760</v>
      </c>
      <c r="B612" s="139" t="s">
        <v>2763</v>
      </c>
      <c r="C612" s="138" t="s">
        <v>882</v>
      </c>
      <c r="D612" s="138" t="s">
        <v>811</v>
      </c>
      <c r="E612" s="136" t="s">
        <v>1571</v>
      </c>
      <c r="F612" s="419">
        <v>43100</v>
      </c>
      <c r="G612" s="140">
        <v>890.05763999999999</v>
      </c>
      <c r="H612" s="140">
        <v>19</v>
      </c>
      <c r="I612" s="140"/>
      <c r="J612" s="140">
        <v>-10.3521</v>
      </c>
      <c r="K612" s="140">
        <v>425.85687999999999</v>
      </c>
      <c r="L612" s="140">
        <v>499.46294</v>
      </c>
      <c r="M612" s="143" t="s">
        <v>189</v>
      </c>
      <c r="N612" s="143" t="s">
        <v>189</v>
      </c>
      <c r="P612" s="608">
        <v>425.85687999999999</v>
      </c>
      <c r="Q612" s="141">
        <f t="shared" si="20"/>
        <v>0</v>
      </c>
    </row>
    <row r="613" spans="1:17">
      <c r="A613" s="138" t="s">
        <v>2762</v>
      </c>
      <c r="B613" s="135" t="s">
        <v>2765</v>
      </c>
      <c r="C613" s="136" t="s">
        <v>894</v>
      </c>
      <c r="D613" s="136" t="s">
        <v>811</v>
      </c>
      <c r="E613" s="138" t="s">
        <v>1571</v>
      </c>
      <c r="F613" s="420">
        <v>42004</v>
      </c>
      <c r="G613" s="141">
        <v>888.07649000000004</v>
      </c>
      <c r="H613" s="141">
        <v>8</v>
      </c>
      <c r="I613" s="142" t="s">
        <v>189</v>
      </c>
      <c r="J613" s="141">
        <v>41.18665</v>
      </c>
      <c r="K613" s="141">
        <v>233.57435999999998</v>
      </c>
      <c r="L613" s="141">
        <v>278.10327000000001</v>
      </c>
      <c r="M613" s="142" t="s">
        <v>189</v>
      </c>
      <c r="N613" s="142" t="s">
        <v>189</v>
      </c>
      <c r="P613" s="610">
        <v>233.57435999999998</v>
      </c>
      <c r="Q613" s="141">
        <f t="shared" si="20"/>
        <v>0</v>
      </c>
    </row>
    <row r="614" spans="1:17" ht="31.5">
      <c r="A614" s="136" t="s">
        <v>2764</v>
      </c>
      <c r="B614" s="137" t="s">
        <v>2767</v>
      </c>
      <c r="C614" s="138" t="s">
        <v>968</v>
      </c>
      <c r="D614" s="138" t="s">
        <v>2768</v>
      </c>
      <c r="E614" s="136" t="s">
        <v>1571</v>
      </c>
      <c r="F614" s="419">
        <v>43100</v>
      </c>
      <c r="G614" s="140">
        <v>886.82655000000011</v>
      </c>
      <c r="H614" s="140">
        <v>7</v>
      </c>
      <c r="I614" s="143" t="s">
        <v>189</v>
      </c>
      <c r="J614" s="140">
        <v>1.54847</v>
      </c>
      <c r="K614" s="140">
        <v>240.60614000000001</v>
      </c>
      <c r="L614" s="140">
        <v>250.79591000000002</v>
      </c>
      <c r="M614" s="143" t="s">
        <v>189</v>
      </c>
      <c r="N614" s="143" t="s">
        <v>189</v>
      </c>
      <c r="P614" s="608">
        <v>240.60614000000001</v>
      </c>
      <c r="Q614" s="141">
        <f t="shared" si="20"/>
        <v>0</v>
      </c>
    </row>
    <row r="615" spans="1:17">
      <c r="A615" s="138" t="s">
        <v>2766</v>
      </c>
      <c r="B615" s="421" t="s">
        <v>2770</v>
      </c>
      <c r="C615" s="136" t="s">
        <v>592</v>
      </c>
      <c r="D615" s="136" t="s">
        <v>596</v>
      </c>
      <c r="E615" s="138" t="s">
        <v>1571</v>
      </c>
      <c r="F615" s="420">
        <v>43100</v>
      </c>
      <c r="G615" s="141">
        <v>885.26532000000009</v>
      </c>
      <c r="H615" s="141">
        <v>10</v>
      </c>
      <c r="I615" s="141">
        <v>55.940860000000001</v>
      </c>
      <c r="J615" s="141">
        <v>143.97673</v>
      </c>
      <c r="K615" s="141">
        <v>432.91947000000005</v>
      </c>
      <c r="L615" s="141">
        <v>643.07602000000009</v>
      </c>
      <c r="M615" s="141">
        <v>4</v>
      </c>
      <c r="N615" s="141">
        <v>10</v>
      </c>
      <c r="O615" s="211">
        <f t="shared" si="19"/>
        <v>0.2857142857142857</v>
      </c>
      <c r="P615" s="610">
        <v>432.91947000000005</v>
      </c>
      <c r="Q615" s="141">
        <f t="shared" si="20"/>
        <v>123.69127714285715</v>
      </c>
    </row>
    <row r="616" spans="1:17" ht="31.5">
      <c r="A616" s="136" t="s">
        <v>2769</v>
      </c>
      <c r="B616" s="137" t="s">
        <v>2772</v>
      </c>
      <c r="C616" s="138" t="s">
        <v>1046</v>
      </c>
      <c r="D616" s="138" t="s">
        <v>971</v>
      </c>
      <c r="E616" s="136" t="s">
        <v>1571</v>
      </c>
      <c r="F616" s="419">
        <v>42004</v>
      </c>
      <c r="G616" s="140">
        <v>884.32010000000002</v>
      </c>
      <c r="H616" s="140">
        <v>6</v>
      </c>
      <c r="I616" s="143" t="s">
        <v>189</v>
      </c>
      <c r="J616" s="140">
        <v>6.7808900000000003</v>
      </c>
      <c r="K616" s="140">
        <v>301.57360999999997</v>
      </c>
      <c r="L616" s="140">
        <v>321.9871</v>
      </c>
      <c r="M616" s="140">
        <v>7</v>
      </c>
      <c r="N616" s="140">
        <v>5</v>
      </c>
      <c r="O616" s="211">
        <f t="shared" si="19"/>
        <v>0.58333333333333337</v>
      </c>
      <c r="P616" s="608">
        <v>301.57360999999997</v>
      </c>
      <c r="Q616" s="141">
        <f t="shared" si="20"/>
        <v>175.91793916666666</v>
      </c>
    </row>
    <row r="617" spans="1:17" ht="21">
      <c r="A617" s="138" t="s">
        <v>2771</v>
      </c>
      <c r="B617" s="135" t="s">
        <v>2774</v>
      </c>
      <c r="C617" s="136" t="s">
        <v>1200</v>
      </c>
      <c r="D617" s="136" t="s">
        <v>1197</v>
      </c>
      <c r="E617" s="138" t="s">
        <v>1571</v>
      </c>
      <c r="F617" s="420">
        <v>43100</v>
      </c>
      <c r="G617" s="141">
        <v>882.98927999999989</v>
      </c>
      <c r="H617" s="141">
        <v>8</v>
      </c>
      <c r="I617" s="141"/>
      <c r="J617" s="141">
        <v>40.838080000000005</v>
      </c>
      <c r="K617" s="141">
        <v>195.81464000000003</v>
      </c>
      <c r="L617" s="141">
        <v>241.80590899999999</v>
      </c>
      <c r="M617" s="142" t="s">
        <v>189</v>
      </c>
      <c r="N617" s="142" t="s">
        <v>189</v>
      </c>
      <c r="P617" s="610">
        <v>195.81464000000003</v>
      </c>
      <c r="Q617" s="141">
        <f t="shared" si="20"/>
        <v>0</v>
      </c>
    </row>
    <row r="618" spans="1:17" ht="31.5">
      <c r="A618" s="136" t="s">
        <v>2773</v>
      </c>
      <c r="B618" s="137" t="s">
        <v>2776</v>
      </c>
      <c r="C618" s="138" t="s">
        <v>1176</v>
      </c>
      <c r="D618" s="138" t="s">
        <v>1168</v>
      </c>
      <c r="E618" s="136" t="s">
        <v>1571</v>
      </c>
      <c r="F618" s="419">
        <v>43100</v>
      </c>
      <c r="G618" s="140">
        <v>882.10118999999997</v>
      </c>
      <c r="H618" s="140">
        <v>9</v>
      </c>
      <c r="I618" s="140">
        <v>0.57517000000000007</v>
      </c>
      <c r="J618" s="140">
        <v>8.2115200000000002</v>
      </c>
      <c r="K618" s="140">
        <v>305.97957000000002</v>
      </c>
      <c r="L618" s="140">
        <v>376.62502900000004</v>
      </c>
      <c r="M618" s="143" t="s">
        <v>189</v>
      </c>
      <c r="N618" s="143" t="s">
        <v>189</v>
      </c>
      <c r="P618" s="608">
        <v>305.97957000000002</v>
      </c>
      <c r="Q618" s="141">
        <f t="shared" si="20"/>
        <v>0</v>
      </c>
    </row>
    <row r="619" spans="1:17" ht="31.5">
      <c r="A619" s="138" t="s">
        <v>2775</v>
      </c>
      <c r="B619" s="135" t="s">
        <v>2778</v>
      </c>
      <c r="C619" s="136" t="s">
        <v>1216</v>
      </c>
      <c r="D619" s="136" t="s">
        <v>1215</v>
      </c>
      <c r="E619" s="138" t="s">
        <v>1571</v>
      </c>
      <c r="F619" s="420">
        <v>43100</v>
      </c>
      <c r="G619" s="141">
        <v>880.16287</v>
      </c>
      <c r="H619" s="141">
        <v>9</v>
      </c>
      <c r="I619" s="141">
        <v>0.95085999999999993</v>
      </c>
      <c r="J619" s="141">
        <v>3.0110500000000004</v>
      </c>
      <c r="K619" s="141">
        <v>269.85307</v>
      </c>
      <c r="L619" s="141">
        <v>343.98476900000003</v>
      </c>
      <c r="M619" s="142" t="s">
        <v>189</v>
      </c>
      <c r="N619" s="142" t="s">
        <v>189</v>
      </c>
      <c r="P619" s="610">
        <v>269.85307</v>
      </c>
      <c r="Q619" s="141">
        <f t="shared" si="20"/>
        <v>0</v>
      </c>
    </row>
    <row r="620" spans="1:17" ht="42">
      <c r="A620" s="136" t="s">
        <v>2777</v>
      </c>
      <c r="B620" s="137" t="s">
        <v>2780</v>
      </c>
      <c r="C620" s="138" t="s">
        <v>1175</v>
      </c>
      <c r="D620" s="138" t="s">
        <v>1168</v>
      </c>
      <c r="E620" s="136" t="s">
        <v>1571</v>
      </c>
      <c r="F620" s="419">
        <v>43100</v>
      </c>
      <c r="G620" s="140">
        <v>879.4118400000001</v>
      </c>
      <c r="H620" s="140">
        <v>6</v>
      </c>
      <c r="I620" s="140"/>
      <c r="J620" s="140">
        <v>20.388529999999999</v>
      </c>
      <c r="K620" s="140">
        <v>294.08330999999998</v>
      </c>
      <c r="L620" s="140">
        <v>322.90258900000003</v>
      </c>
      <c r="M620" s="143" t="s">
        <v>189</v>
      </c>
      <c r="N620" s="143" t="s">
        <v>189</v>
      </c>
      <c r="P620" s="608">
        <v>294.08330999999998</v>
      </c>
      <c r="Q620" s="141">
        <f t="shared" si="20"/>
        <v>0</v>
      </c>
    </row>
    <row r="621" spans="1:17" ht="31.5">
      <c r="A621" s="138" t="s">
        <v>2779</v>
      </c>
      <c r="B621" s="135" t="s">
        <v>2782</v>
      </c>
      <c r="C621" s="136" t="s">
        <v>1069</v>
      </c>
      <c r="D621" s="136" t="s">
        <v>969</v>
      </c>
      <c r="E621" s="138" t="s">
        <v>1571</v>
      </c>
      <c r="F621" s="420">
        <v>43100</v>
      </c>
      <c r="G621" s="141">
        <v>878.82337000000007</v>
      </c>
      <c r="H621" s="141">
        <v>12</v>
      </c>
      <c r="I621" s="142" t="s">
        <v>189</v>
      </c>
      <c r="J621" s="141">
        <v>9.4068499999999986</v>
      </c>
      <c r="K621" s="141">
        <v>400.97462999999999</v>
      </c>
      <c r="L621" s="141">
        <v>447.66649999999998</v>
      </c>
      <c r="M621" s="142" t="s">
        <v>189</v>
      </c>
      <c r="N621" s="142" t="s">
        <v>189</v>
      </c>
      <c r="P621" s="610">
        <v>400.97462999999999</v>
      </c>
      <c r="Q621" s="141">
        <f t="shared" si="20"/>
        <v>0</v>
      </c>
    </row>
    <row r="622" spans="1:17" ht="21">
      <c r="A622" s="136" t="s">
        <v>2781</v>
      </c>
      <c r="B622" s="137" t="s">
        <v>2784</v>
      </c>
      <c r="C622" s="138" t="s">
        <v>1015</v>
      </c>
      <c r="D622" s="138" t="s">
        <v>1266</v>
      </c>
      <c r="E622" s="136" t="s">
        <v>1571</v>
      </c>
      <c r="F622" s="419">
        <v>43100</v>
      </c>
      <c r="G622" s="140">
        <v>873.28165000000001</v>
      </c>
      <c r="H622" s="140">
        <v>12</v>
      </c>
      <c r="I622" s="140">
        <v>-0.18262</v>
      </c>
      <c r="J622" s="140">
        <v>60.016570000000002</v>
      </c>
      <c r="K622" s="140">
        <v>397.61152000000004</v>
      </c>
      <c r="L622" s="140">
        <v>481.22305</v>
      </c>
      <c r="M622" s="143" t="s">
        <v>189</v>
      </c>
      <c r="N622" s="143" t="s">
        <v>189</v>
      </c>
      <c r="P622" s="608">
        <v>397.61152000000004</v>
      </c>
      <c r="Q622" s="141">
        <f t="shared" si="20"/>
        <v>0</v>
      </c>
    </row>
    <row r="623" spans="1:17" ht="42">
      <c r="A623" s="138" t="s">
        <v>2783</v>
      </c>
      <c r="B623" s="135" t="s">
        <v>2786</v>
      </c>
      <c r="C623" s="136" t="s">
        <v>1047</v>
      </c>
      <c r="D623" s="136" t="s">
        <v>971</v>
      </c>
      <c r="E623" s="138" t="s">
        <v>1571</v>
      </c>
      <c r="F623" s="420">
        <v>43100</v>
      </c>
      <c r="G623" s="141">
        <v>872.54588999999999</v>
      </c>
      <c r="H623" s="141">
        <v>5</v>
      </c>
      <c r="I623" s="141"/>
      <c r="J623" s="141">
        <v>-17.622709999999998</v>
      </c>
      <c r="K623" s="141">
        <v>137.44444000000001</v>
      </c>
      <c r="L623" s="141">
        <v>136.45277999999999</v>
      </c>
      <c r="M623" s="141">
        <v>4</v>
      </c>
      <c r="N623" s="141">
        <v>8</v>
      </c>
      <c r="O623" s="211">
        <f t="shared" si="19"/>
        <v>0.33333333333333331</v>
      </c>
      <c r="P623" s="610">
        <v>137.44444000000001</v>
      </c>
      <c r="Q623" s="141">
        <f t="shared" si="20"/>
        <v>45.814813333333333</v>
      </c>
    </row>
    <row r="624" spans="1:17" ht="42">
      <c r="A624" s="136" t="s">
        <v>2785</v>
      </c>
      <c r="B624" s="137" t="s">
        <v>2788</v>
      </c>
      <c r="C624" s="138" t="s">
        <v>631</v>
      </c>
      <c r="D624" s="138" t="s">
        <v>1825</v>
      </c>
      <c r="E624" s="136" t="s">
        <v>1571</v>
      </c>
      <c r="F624" s="419">
        <v>43100</v>
      </c>
      <c r="G624" s="140">
        <v>871.19123000000002</v>
      </c>
      <c r="H624" s="140">
        <v>4</v>
      </c>
      <c r="I624" s="140">
        <v>10.468299999999999</v>
      </c>
      <c r="J624" s="140">
        <v>33.149610000000003</v>
      </c>
      <c r="K624" s="140">
        <v>157.67016000000001</v>
      </c>
      <c r="L624" s="140">
        <v>245.483789</v>
      </c>
      <c r="M624" s="143" t="s">
        <v>189</v>
      </c>
      <c r="N624" s="143" t="s">
        <v>189</v>
      </c>
      <c r="P624" s="608">
        <v>157.67016000000001</v>
      </c>
      <c r="Q624" s="141">
        <f t="shared" si="20"/>
        <v>0</v>
      </c>
    </row>
    <row r="625" spans="1:17" ht="52.5">
      <c r="A625" s="138" t="s">
        <v>2787</v>
      </c>
      <c r="B625" s="135" t="s">
        <v>2790</v>
      </c>
      <c r="C625" s="136" t="s">
        <v>1181</v>
      </c>
      <c r="D625" s="136" t="s">
        <v>1168</v>
      </c>
      <c r="E625" s="138" t="s">
        <v>1571</v>
      </c>
      <c r="F625" s="420">
        <v>43100</v>
      </c>
      <c r="G625" s="141">
        <v>870.92476999999997</v>
      </c>
      <c r="H625" s="141">
        <v>2</v>
      </c>
      <c r="I625" s="141">
        <v>2.5241700000000002</v>
      </c>
      <c r="J625" s="141">
        <v>10.622530000000001</v>
      </c>
      <c r="K625" s="141">
        <v>79.397509999999997</v>
      </c>
      <c r="L625" s="141">
        <v>143.17814000000001</v>
      </c>
      <c r="M625" s="142" t="s">
        <v>189</v>
      </c>
      <c r="N625" s="142" t="s">
        <v>189</v>
      </c>
      <c r="P625" s="610">
        <v>79.397509999999997</v>
      </c>
      <c r="Q625" s="141">
        <f t="shared" si="20"/>
        <v>0</v>
      </c>
    </row>
    <row r="626" spans="1:17" ht="21">
      <c r="A626" s="136" t="s">
        <v>2789</v>
      </c>
      <c r="B626" s="137" t="s">
        <v>2792</v>
      </c>
      <c r="C626" s="138" t="s">
        <v>2793</v>
      </c>
      <c r="D626" s="138" t="s">
        <v>705</v>
      </c>
      <c r="E626" s="136" t="s">
        <v>1571</v>
      </c>
      <c r="F626" s="419">
        <v>43100</v>
      </c>
      <c r="G626" s="140">
        <v>860.10549000000003</v>
      </c>
      <c r="H626" s="140">
        <v>10</v>
      </c>
      <c r="I626" s="140">
        <v>2.9299100000000005</v>
      </c>
      <c r="J626" s="140">
        <v>12.330020000000001</v>
      </c>
      <c r="K626" s="140">
        <v>389.13587000000001</v>
      </c>
      <c r="L626" s="140">
        <v>408.95789000000002</v>
      </c>
      <c r="M626" s="143" t="s">
        <v>189</v>
      </c>
      <c r="N626" s="143" t="s">
        <v>189</v>
      </c>
      <c r="P626" s="608">
        <v>389.13587000000001</v>
      </c>
      <c r="Q626" s="141">
        <f t="shared" si="20"/>
        <v>0</v>
      </c>
    </row>
    <row r="627" spans="1:17" ht="31.5">
      <c r="A627" s="138" t="s">
        <v>2791</v>
      </c>
      <c r="B627" s="135" t="s">
        <v>2795</v>
      </c>
      <c r="C627" s="136" t="s">
        <v>1150</v>
      </c>
      <c r="D627" s="136" t="s">
        <v>753</v>
      </c>
      <c r="E627" s="138" t="s">
        <v>1571</v>
      </c>
      <c r="F627" s="420">
        <v>42735</v>
      </c>
      <c r="G627" s="141">
        <v>858.70388000000003</v>
      </c>
      <c r="H627" s="141">
        <v>7</v>
      </c>
      <c r="I627" s="142" t="s">
        <v>189</v>
      </c>
      <c r="J627" s="141">
        <v>62.649370000000005</v>
      </c>
      <c r="K627" s="141">
        <v>290.45101</v>
      </c>
      <c r="L627" s="141">
        <v>443.06324999999998</v>
      </c>
      <c r="M627" s="141">
        <v>1</v>
      </c>
      <c r="N627" s="141">
        <v>9</v>
      </c>
      <c r="O627" s="211">
        <f t="shared" si="19"/>
        <v>0.1</v>
      </c>
      <c r="P627" s="610">
        <v>290.45101</v>
      </c>
      <c r="Q627" s="141">
        <f t="shared" si="20"/>
        <v>29.045101000000003</v>
      </c>
    </row>
    <row r="628" spans="1:17" ht="52.5">
      <c r="A628" s="136" t="s">
        <v>2794</v>
      </c>
      <c r="B628" s="137" t="s">
        <v>2797</v>
      </c>
      <c r="C628" s="138" t="s">
        <v>1434</v>
      </c>
      <c r="D628" s="138" t="s">
        <v>1429</v>
      </c>
      <c r="E628" s="136" t="s">
        <v>1571</v>
      </c>
      <c r="F628" s="419">
        <v>43100</v>
      </c>
      <c r="G628" s="140">
        <v>847.71967999999993</v>
      </c>
      <c r="H628" s="140">
        <v>7</v>
      </c>
      <c r="I628" s="140">
        <v>16.494880000000002</v>
      </c>
      <c r="J628" s="140">
        <v>69.415929999999989</v>
      </c>
      <c r="K628" s="140">
        <v>169.83634000000001</v>
      </c>
      <c r="L628" s="140">
        <v>270.78682900000001</v>
      </c>
      <c r="M628" s="140">
        <v>1</v>
      </c>
      <c r="N628" s="140">
        <v>11</v>
      </c>
      <c r="O628" s="211">
        <f t="shared" si="19"/>
        <v>8.3333333333333329E-2</v>
      </c>
      <c r="P628" s="608">
        <v>169.83634000000001</v>
      </c>
      <c r="Q628" s="141">
        <f t="shared" si="20"/>
        <v>14.153028333333333</v>
      </c>
    </row>
    <row r="629" spans="1:17" ht="21">
      <c r="A629" s="138" t="s">
        <v>2796</v>
      </c>
      <c r="B629" s="135" t="s">
        <v>2799</v>
      </c>
      <c r="C629" s="136" t="s">
        <v>1511</v>
      </c>
      <c r="D629" s="136" t="s">
        <v>1501</v>
      </c>
      <c r="E629" s="138" t="s">
        <v>1571</v>
      </c>
      <c r="F629" s="420">
        <v>43100</v>
      </c>
      <c r="G629" s="141">
        <v>839.30684000000008</v>
      </c>
      <c r="H629" s="141">
        <v>9</v>
      </c>
      <c r="I629" s="141">
        <v>5.5416600000000011</v>
      </c>
      <c r="J629" s="141">
        <v>46.93618</v>
      </c>
      <c r="K629" s="141">
        <v>366.37833000000001</v>
      </c>
      <c r="L629" s="141">
        <v>439.27418</v>
      </c>
      <c r="M629" s="142" t="s">
        <v>189</v>
      </c>
      <c r="N629" s="142" t="s">
        <v>189</v>
      </c>
      <c r="P629" s="610">
        <v>366.37833000000001</v>
      </c>
      <c r="Q629" s="141">
        <f t="shared" si="20"/>
        <v>0</v>
      </c>
    </row>
    <row r="630" spans="1:17" ht="21">
      <c r="A630" s="136" t="s">
        <v>2798</v>
      </c>
      <c r="B630" s="137" t="s">
        <v>2801</v>
      </c>
      <c r="C630" s="138" t="s">
        <v>1519</v>
      </c>
      <c r="D630" s="138" t="s">
        <v>1501</v>
      </c>
      <c r="E630" s="136" t="s">
        <v>1571</v>
      </c>
      <c r="F630" s="419">
        <v>43100</v>
      </c>
      <c r="G630" s="140">
        <v>837.12746000000004</v>
      </c>
      <c r="H630" s="140">
        <v>13</v>
      </c>
      <c r="I630" s="140">
        <v>10.476030000000002</v>
      </c>
      <c r="J630" s="140">
        <v>33.174109999999999</v>
      </c>
      <c r="K630" s="140">
        <v>539.77369999999996</v>
      </c>
      <c r="L630" s="140">
        <v>590.60473000000002</v>
      </c>
      <c r="M630" s="143" t="s">
        <v>189</v>
      </c>
      <c r="N630" s="143" t="s">
        <v>189</v>
      </c>
      <c r="P630" s="608">
        <v>539.77369999999996</v>
      </c>
      <c r="Q630" s="141">
        <f t="shared" si="20"/>
        <v>0</v>
      </c>
    </row>
    <row r="631" spans="1:17">
      <c r="A631" s="138" t="s">
        <v>2800</v>
      </c>
      <c r="B631" s="135" t="s">
        <v>2803</v>
      </c>
      <c r="C631" s="136" t="s">
        <v>1146</v>
      </c>
      <c r="D631" s="136" t="s">
        <v>1145</v>
      </c>
      <c r="E631" s="138" t="s">
        <v>1571</v>
      </c>
      <c r="F631" s="420">
        <v>43100</v>
      </c>
      <c r="G631" s="141">
        <v>829.67627899999991</v>
      </c>
      <c r="H631" s="141">
        <v>7</v>
      </c>
      <c r="I631" s="142" t="s">
        <v>189</v>
      </c>
      <c r="J631" s="141">
        <v>-3.1409199999999999</v>
      </c>
      <c r="K631" s="141">
        <v>181.41233</v>
      </c>
      <c r="L631" s="141">
        <v>184.248378</v>
      </c>
      <c r="M631" s="141">
        <v>1</v>
      </c>
      <c r="N631" s="141">
        <v>6</v>
      </c>
      <c r="O631" s="211">
        <f t="shared" si="19"/>
        <v>0.14285714285714285</v>
      </c>
      <c r="P631" s="610">
        <v>181.41233</v>
      </c>
      <c r="Q631" s="141">
        <f t="shared" si="20"/>
        <v>25.916047142857142</v>
      </c>
    </row>
    <row r="632" spans="1:17" ht="21">
      <c r="A632" s="136" t="s">
        <v>2802</v>
      </c>
      <c r="B632" s="137" t="s">
        <v>2805</v>
      </c>
      <c r="C632" s="138" t="s">
        <v>1030</v>
      </c>
      <c r="D632" s="138" t="s">
        <v>1027</v>
      </c>
      <c r="E632" s="136" t="s">
        <v>1571</v>
      </c>
      <c r="F632" s="419">
        <v>43100</v>
      </c>
      <c r="G632" s="140">
        <v>826.53595000000007</v>
      </c>
      <c r="H632" s="140">
        <v>9</v>
      </c>
      <c r="I632" s="140">
        <v>4.8058800000000002</v>
      </c>
      <c r="J632" s="140">
        <v>29.845050000000001</v>
      </c>
      <c r="K632" s="140">
        <v>352.11685</v>
      </c>
      <c r="L632" s="140">
        <v>417.58303900000004</v>
      </c>
      <c r="M632" s="143" t="s">
        <v>189</v>
      </c>
      <c r="N632" s="143" t="s">
        <v>189</v>
      </c>
      <c r="P632" s="608">
        <v>352.11685</v>
      </c>
      <c r="Q632" s="141">
        <f t="shared" si="20"/>
        <v>0</v>
      </c>
    </row>
    <row r="633" spans="1:17" ht="21">
      <c r="A633" s="138" t="s">
        <v>2804</v>
      </c>
      <c r="B633" s="135" t="s">
        <v>2807</v>
      </c>
      <c r="C633" s="136" t="s">
        <v>714</v>
      </c>
      <c r="D633" s="136" t="s">
        <v>778</v>
      </c>
      <c r="E633" s="138" t="s">
        <v>1571</v>
      </c>
      <c r="F633" s="420">
        <v>43100</v>
      </c>
      <c r="G633" s="141">
        <v>817.39340000000004</v>
      </c>
      <c r="H633" s="141">
        <v>9</v>
      </c>
      <c r="I633" s="141">
        <v>4.0649500000000005</v>
      </c>
      <c r="J633" s="141">
        <v>17.3855</v>
      </c>
      <c r="K633" s="141">
        <v>421.61687000000001</v>
      </c>
      <c r="L633" s="141">
        <v>450.95530000000002</v>
      </c>
      <c r="M633" s="142" t="s">
        <v>189</v>
      </c>
      <c r="N633" s="141">
        <v>4</v>
      </c>
      <c r="P633" s="610">
        <v>421.61687000000001</v>
      </c>
      <c r="Q633" s="141">
        <f t="shared" si="20"/>
        <v>0</v>
      </c>
    </row>
    <row r="634" spans="1:17">
      <c r="A634" s="136" t="s">
        <v>2806</v>
      </c>
      <c r="B634" s="137" t="s">
        <v>2809</v>
      </c>
      <c r="C634" s="138" t="s">
        <v>923</v>
      </c>
      <c r="D634" s="138" t="s">
        <v>811</v>
      </c>
      <c r="E634" s="136" t="s">
        <v>1571</v>
      </c>
      <c r="F634" s="419">
        <v>43100</v>
      </c>
      <c r="G634" s="140">
        <v>816.83987999999999</v>
      </c>
      <c r="H634" s="140">
        <v>2</v>
      </c>
      <c r="I634" s="140">
        <v>-0.41769000000000001</v>
      </c>
      <c r="J634" s="140">
        <v>7.1906900000000009</v>
      </c>
      <c r="K634" s="140">
        <v>45.593300000000006</v>
      </c>
      <c r="L634" s="140">
        <v>91.591899999999995</v>
      </c>
      <c r="M634" s="143" t="s">
        <v>189</v>
      </c>
      <c r="N634" s="143" t="s">
        <v>189</v>
      </c>
      <c r="P634" s="608">
        <v>45.593300000000006</v>
      </c>
      <c r="Q634" s="141">
        <f t="shared" si="20"/>
        <v>0</v>
      </c>
    </row>
    <row r="635" spans="1:17" ht="42">
      <c r="A635" s="138" t="s">
        <v>2808</v>
      </c>
      <c r="B635" s="135" t="s">
        <v>2811</v>
      </c>
      <c r="C635" s="136" t="s">
        <v>1423</v>
      </c>
      <c r="D635" s="136" t="s">
        <v>1419</v>
      </c>
      <c r="E635" s="138" t="s">
        <v>1571</v>
      </c>
      <c r="F635" s="420">
        <v>43100</v>
      </c>
      <c r="G635" s="141">
        <v>814.32119</v>
      </c>
      <c r="H635" s="141">
        <v>6</v>
      </c>
      <c r="I635" s="141">
        <v>0.26630999999999999</v>
      </c>
      <c r="J635" s="141">
        <v>1.1207200000000002</v>
      </c>
      <c r="K635" s="141">
        <v>192.93083999999999</v>
      </c>
      <c r="L635" s="141">
        <v>202.46736999999999</v>
      </c>
      <c r="M635" s="142" t="s">
        <v>189</v>
      </c>
      <c r="N635" s="142" t="s">
        <v>189</v>
      </c>
      <c r="P635" s="610">
        <v>192.93083999999999</v>
      </c>
      <c r="Q635" s="141">
        <f t="shared" si="20"/>
        <v>0</v>
      </c>
    </row>
    <row r="636" spans="1:17" ht="31.5">
      <c r="A636" s="136" t="s">
        <v>2810</v>
      </c>
      <c r="B636" s="137" t="s">
        <v>2813</v>
      </c>
      <c r="C636" s="138" t="s">
        <v>922</v>
      </c>
      <c r="D636" s="138" t="s">
        <v>811</v>
      </c>
      <c r="E636" s="136" t="s">
        <v>1571</v>
      </c>
      <c r="F636" s="419">
        <v>43100</v>
      </c>
      <c r="G636" s="140">
        <v>803.13139000000001</v>
      </c>
      <c r="H636" s="140">
        <v>7</v>
      </c>
      <c r="I636" s="140">
        <v>7.2030600000000007</v>
      </c>
      <c r="J636" s="140">
        <v>22.80968</v>
      </c>
      <c r="K636" s="140">
        <v>155.32637999999997</v>
      </c>
      <c r="L636" s="140">
        <v>192.27488899999997</v>
      </c>
      <c r="M636" s="143" t="s">
        <v>189</v>
      </c>
      <c r="N636" s="143" t="s">
        <v>189</v>
      </c>
      <c r="P636" s="608">
        <v>155.32637999999997</v>
      </c>
      <c r="Q636" s="141">
        <f t="shared" si="20"/>
        <v>0</v>
      </c>
    </row>
    <row r="637" spans="1:17">
      <c r="A637" s="138" t="s">
        <v>2812</v>
      </c>
      <c r="B637" s="135" t="s">
        <v>2815</v>
      </c>
      <c r="C637" s="136" t="s">
        <v>667</v>
      </c>
      <c r="D637" s="136" t="s">
        <v>668</v>
      </c>
      <c r="E637" s="138" t="s">
        <v>1571</v>
      </c>
      <c r="F637" s="420">
        <v>43100</v>
      </c>
      <c r="G637" s="141">
        <v>802.07500000000005</v>
      </c>
      <c r="H637" s="141">
        <v>6</v>
      </c>
      <c r="I637" s="141">
        <v>8.599969999999999</v>
      </c>
      <c r="J637" s="141">
        <v>23.946849999999998</v>
      </c>
      <c r="K637" s="141">
        <v>329.54727000000003</v>
      </c>
      <c r="L637" s="141">
        <v>418.48473999999999</v>
      </c>
      <c r="M637" s="141">
        <v>1</v>
      </c>
      <c r="N637" s="141">
        <v>4</v>
      </c>
      <c r="O637" s="211">
        <f t="shared" si="19"/>
        <v>0.2</v>
      </c>
      <c r="P637" s="610">
        <v>329.54727000000003</v>
      </c>
      <c r="Q637" s="141">
        <f t="shared" si="20"/>
        <v>65.909454000000011</v>
      </c>
    </row>
    <row r="638" spans="1:17" ht="21">
      <c r="A638" s="136" t="s">
        <v>2814</v>
      </c>
      <c r="B638" s="137" t="s">
        <v>2817</v>
      </c>
      <c r="C638" s="138" t="s">
        <v>1325</v>
      </c>
      <c r="D638" s="138" t="s">
        <v>1320</v>
      </c>
      <c r="E638" s="136" t="s">
        <v>1571</v>
      </c>
      <c r="F638" s="419">
        <v>43100</v>
      </c>
      <c r="G638" s="140">
        <v>799.26927999999998</v>
      </c>
      <c r="H638" s="140">
        <v>5</v>
      </c>
      <c r="I638" s="140"/>
      <c r="J638" s="140">
        <v>87.083180000000013</v>
      </c>
      <c r="K638" s="140">
        <v>152.95787999999999</v>
      </c>
      <c r="L638" s="140">
        <v>298.49718000000001</v>
      </c>
      <c r="M638" s="143" t="s">
        <v>189</v>
      </c>
      <c r="N638" s="143" t="s">
        <v>189</v>
      </c>
      <c r="P638" s="608">
        <v>152.95787999999999</v>
      </c>
      <c r="Q638" s="141">
        <f t="shared" si="20"/>
        <v>0</v>
      </c>
    </row>
    <row r="639" spans="1:17" ht="21">
      <c r="A639" s="138" t="s">
        <v>2816</v>
      </c>
      <c r="B639" s="135" t="s">
        <v>2819</v>
      </c>
      <c r="C639" s="136" t="s">
        <v>648</v>
      </c>
      <c r="D639" s="136" t="s">
        <v>2721</v>
      </c>
      <c r="E639" s="138" t="s">
        <v>1571</v>
      </c>
      <c r="F639" s="420">
        <v>43100</v>
      </c>
      <c r="G639" s="141">
        <v>798.48791000000006</v>
      </c>
      <c r="H639" s="141">
        <v>2</v>
      </c>
      <c r="I639" s="141"/>
      <c r="J639" s="141">
        <v>-8.6726600000000005</v>
      </c>
      <c r="K639" s="141">
        <v>171.26071000000002</v>
      </c>
      <c r="L639" s="141">
        <v>200.92751999999999</v>
      </c>
      <c r="M639" s="142" t="s">
        <v>189</v>
      </c>
      <c r="N639" s="142" t="s">
        <v>189</v>
      </c>
      <c r="P639" s="610">
        <v>171.26071000000002</v>
      </c>
      <c r="Q639" s="141">
        <f t="shared" si="20"/>
        <v>0</v>
      </c>
    </row>
    <row r="640" spans="1:17" ht="42">
      <c r="A640" s="136" t="s">
        <v>2818</v>
      </c>
      <c r="B640" s="137" t="s">
        <v>2821</v>
      </c>
      <c r="C640" s="138" t="s">
        <v>953</v>
      </c>
      <c r="D640" s="138" t="s">
        <v>811</v>
      </c>
      <c r="E640" s="136" t="s">
        <v>1571</v>
      </c>
      <c r="F640" s="419">
        <v>43100</v>
      </c>
      <c r="G640" s="140">
        <v>790.36669999999992</v>
      </c>
      <c r="H640" s="140">
        <v>11</v>
      </c>
      <c r="I640" s="140">
        <v>-0.27647999999999995</v>
      </c>
      <c r="J640" s="140">
        <v>-19.798060000000003</v>
      </c>
      <c r="K640" s="140">
        <v>241.09254999999999</v>
      </c>
      <c r="L640" s="140">
        <v>253.954409</v>
      </c>
      <c r="M640" s="143" t="s">
        <v>189</v>
      </c>
      <c r="N640" s="143" t="s">
        <v>189</v>
      </c>
      <c r="P640" s="608">
        <v>241.09254999999999</v>
      </c>
      <c r="Q640" s="141">
        <f t="shared" si="20"/>
        <v>0</v>
      </c>
    </row>
    <row r="641" spans="1:17" ht="31.5">
      <c r="A641" s="138" t="s">
        <v>2820</v>
      </c>
      <c r="B641" s="135" t="s">
        <v>2823</v>
      </c>
      <c r="C641" s="136" t="s">
        <v>1470</v>
      </c>
      <c r="D641" s="136" t="s">
        <v>1461</v>
      </c>
      <c r="E641" s="138" t="s">
        <v>1571</v>
      </c>
      <c r="F641" s="420">
        <v>43100</v>
      </c>
      <c r="G641" s="141">
        <v>780.68187999999998</v>
      </c>
      <c r="H641" s="141">
        <v>9</v>
      </c>
      <c r="I641" s="141">
        <v>0.95918000000000003</v>
      </c>
      <c r="J641" s="141">
        <v>4.0577300000000003</v>
      </c>
      <c r="K641" s="141">
        <v>312.65229000000005</v>
      </c>
      <c r="L641" s="141">
        <v>351.56960900000001</v>
      </c>
      <c r="M641" s="141">
        <v>3</v>
      </c>
      <c r="N641" s="141">
        <v>9</v>
      </c>
      <c r="O641" s="211">
        <f t="shared" si="19"/>
        <v>0.25</v>
      </c>
      <c r="P641" s="610">
        <v>312.65229000000005</v>
      </c>
      <c r="Q641" s="141">
        <f t="shared" si="20"/>
        <v>78.163072500000013</v>
      </c>
    </row>
    <row r="642" spans="1:17">
      <c r="A642" s="136" t="s">
        <v>2822</v>
      </c>
      <c r="B642" s="137" t="s">
        <v>2825</v>
      </c>
      <c r="C642" s="138" t="s">
        <v>1493</v>
      </c>
      <c r="D642" s="138" t="s">
        <v>1474</v>
      </c>
      <c r="E642" s="136" t="s">
        <v>1571</v>
      </c>
      <c r="F642" s="419">
        <v>43100</v>
      </c>
      <c r="G642" s="140">
        <v>777.52857999999992</v>
      </c>
      <c r="H642" s="140">
        <v>5</v>
      </c>
      <c r="I642" s="140">
        <v>1.6057699999999999</v>
      </c>
      <c r="J642" s="140">
        <v>5.66228</v>
      </c>
      <c r="K642" s="140">
        <v>159.33534999999998</v>
      </c>
      <c r="L642" s="140">
        <v>198.22451000000001</v>
      </c>
      <c r="M642" s="143" t="s">
        <v>189</v>
      </c>
      <c r="N642" s="143" t="s">
        <v>189</v>
      </c>
      <c r="P642" s="608">
        <v>159.33534999999998</v>
      </c>
      <c r="Q642" s="141">
        <f t="shared" si="20"/>
        <v>0</v>
      </c>
    </row>
    <row r="643" spans="1:17">
      <c r="A643" s="138" t="s">
        <v>2824</v>
      </c>
      <c r="B643" s="135" t="s">
        <v>2827</v>
      </c>
      <c r="C643" s="136" t="s">
        <v>849</v>
      </c>
      <c r="D643" s="136" t="s">
        <v>811</v>
      </c>
      <c r="E643" s="138" t="s">
        <v>1571</v>
      </c>
      <c r="F643" s="420">
        <v>43100</v>
      </c>
      <c r="G643" s="141">
        <v>776.19240000000002</v>
      </c>
      <c r="H643" s="141">
        <v>4</v>
      </c>
      <c r="I643" s="142" t="s">
        <v>189</v>
      </c>
      <c r="J643" s="141">
        <v>-21.138470000000002</v>
      </c>
      <c r="K643" s="141">
        <v>135.3194</v>
      </c>
      <c r="L643" s="141">
        <v>128.96719999999999</v>
      </c>
      <c r="M643" s="142" t="s">
        <v>189</v>
      </c>
      <c r="N643" s="142" t="s">
        <v>189</v>
      </c>
      <c r="P643" s="610">
        <v>135.3194</v>
      </c>
      <c r="Q643" s="141">
        <f t="shared" si="20"/>
        <v>0</v>
      </c>
    </row>
    <row r="644" spans="1:17" ht="42">
      <c r="A644" s="136" t="s">
        <v>2826</v>
      </c>
      <c r="B644" s="137" t="s">
        <v>2829</v>
      </c>
      <c r="C644" s="138" t="s">
        <v>1107</v>
      </c>
      <c r="D644" s="138" t="s">
        <v>969</v>
      </c>
      <c r="E644" s="136" t="s">
        <v>1571</v>
      </c>
      <c r="F644" s="419">
        <v>37621</v>
      </c>
      <c r="G644" s="140">
        <v>770.25973999999997</v>
      </c>
      <c r="H644" s="143" t="s">
        <v>189</v>
      </c>
      <c r="I644" s="140">
        <v>6.6370200000000006</v>
      </c>
      <c r="J644" s="140">
        <v>-3.5641599999999998</v>
      </c>
      <c r="K644" s="140">
        <v>136.51419000000001</v>
      </c>
      <c r="L644" s="140">
        <v>182.40781899999999</v>
      </c>
      <c r="M644" s="140">
        <v>3</v>
      </c>
      <c r="N644" s="140">
        <v>5</v>
      </c>
      <c r="O644" s="211">
        <f t="shared" si="19"/>
        <v>0.375</v>
      </c>
      <c r="P644" s="608">
        <v>136.51419000000001</v>
      </c>
      <c r="Q644" s="141">
        <f t="shared" si="20"/>
        <v>51.192821250000009</v>
      </c>
    </row>
    <row r="645" spans="1:17" ht="21">
      <c r="A645" s="138" t="s">
        <v>2828</v>
      </c>
      <c r="B645" s="135" t="s">
        <v>2831</v>
      </c>
      <c r="C645" s="136" t="s">
        <v>1180</v>
      </c>
      <c r="D645" s="136" t="s">
        <v>1168</v>
      </c>
      <c r="E645" s="138" t="s">
        <v>1571</v>
      </c>
      <c r="F645" s="420">
        <v>40178</v>
      </c>
      <c r="G645" s="141">
        <v>770.14561000000003</v>
      </c>
      <c r="H645" s="142" t="s">
        <v>189</v>
      </c>
      <c r="I645" s="141">
        <v>1.13995</v>
      </c>
      <c r="J645" s="141">
        <v>12.96698</v>
      </c>
      <c r="K645" s="141">
        <v>76.435919999999996</v>
      </c>
      <c r="L645" s="141">
        <v>99.315739999999991</v>
      </c>
      <c r="M645" s="142" t="s">
        <v>189</v>
      </c>
      <c r="N645" s="142" t="s">
        <v>189</v>
      </c>
      <c r="P645" s="610">
        <v>76.435919999999996</v>
      </c>
      <c r="Q645" s="141">
        <f t="shared" si="20"/>
        <v>0</v>
      </c>
    </row>
    <row r="646" spans="1:17" ht="31.5">
      <c r="A646" s="136" t="s">
        <v>2830</v>
      </c>
      <c r="B646" s="137" t="s">
        <v>2833</v>
      </c>
      <c r="C646" s="138" t="s">
        <v>1295</v>
      </c>
      <c r="D646" s="138" t="s">
        <v>1266</v>
      </c>
      <c r="E646" s="136" t="s">
        <v>1571</v>
      </c>
      <c r="F646" s="419">
        <v>42735</v>
      </c>
      <c r="G646" s="140">
        <v>767.61975000000007</v>
      </c>
      <c r="H646" s="140">
        <v>12</v>
      </c>
      <c r="I646" s="140">
        <v>4.5331500000000009</v>
      </c>
      <c r="J646" s="140">
        <v>21.604200000000002</v>
      </c>
      <c r="K646" s="140">
        <v>304.20752000000005</v>
      </c>
      <c r="L646" s="140">
        <v>350.20019000000002</v>
      </c>
      <c r="M646" s="143" t="s">
        <v>189</v>
      </c>
      <c r="N646" s="143" t="s">
        <v>189</v>
      </c>
      <c r="P646" s="608">
        <v>304.20752000000005</v>
      </c>
      <c r="Q646" s="141">
        <f t="shared" si="20"/>
        <v>0</v>
      </c>
    </row>
    <row r="647" spans="1:17" ht="21">
      <c r="A647" s="138" t="s">
        <v>2832</v>
      </c>
      <c r="B647" s="135" t="s">
        <v>2835</v>
      </c>
      <c r="C647" s="136" t="s">
        <v>1309</v>
      </c>
      <c r="D647" s="136" t="s">
        <v>2836</v>
      </c>
      <c r="E647" s="138" t="s">
        <v>1571</v>
      </c>
      <c r="F647" s="420">
        <v>43100</v>
      </c>
      <c r="G647" s="141">
        <v>767.21156999999994</v>
      </c>
      <c r="H647" s="141">
        <v>7</v>
      </c>
      <c r="I647" s="141">
        <v>1.36666</v>
      </c>
      <c r="J647" s="141">
        <v>11.575150000000001</v>
      </c>
      <c r="K647" s="141">
        <v>241.00128000000001</v>
      </c>
      <c r="L647" s="141">
        <v>267.28849000000008</v>
      </c>
      <c r="M647" s="142" t="s">
        <v>189</v>
      </c>
      <c r="N647" s="142" t="s">
        <v>189</v>
      </c>
      <c r="P647" s="610">
        <v>241.00128000000001</v>
      </c>
      <c r="Q647" s="141">
        <f t="shared" si="20"/>
        <v>0</v>
      </c>
    </row>
    <row r="648" spans="1:17" ht="21">
      <c r="A648" s="136" t="s">
        <v>2834</v>
      </c>
      <c r="B648" s="137" t="s">
        <v>2838</v>
      </c>
      <c r="C648" s="138" t="s">
        <v>917</v>
      </c>
      <c r="D648" s="138" t="s">
        <v>811</v>
      </c>
      <c r="E648" s="136" t="s">
        <v>1571</v>
      </c>
      <c r="F648" s="419">
        <v>43100</v>
      </c>
      <c r="G648" s="140">
        <v>761.38251000000002</v>
      </c>
      <c r="H648" s="140">
        <v>17</v>
      </c>
      <c r="I648" s="143" t="s">
        <v>189</v>
      </c>
      <c r="J648" s="140">
        <v>-34.4345</v>
      </c>
      <c r="K648" s="140">
        <v>456.39465999999999</v>
      </c>
      <c r="L648" s="140">
        <v>449.31103999999999</v>
      </c>
      <c r="M648" s="143" t="s">
        <v>189</v>
      </c>
      <c r="N648" s="143" t="s">
        <v>189</v>
      </c>
      <c r="P648" s="608">
        <v>456.39465999999999</v>
      </c>
      <c r="Q648" s="141">
        <f t="shared" si="20"/>
        <v>0</v>
      </c>
    </row>
    <row r="649" spans="1:17" ht="31.5">
      <c r="A649" s="138" t="s">
        <v>2837</v>
      </c>
      <c r="B649" s="135" t="s">
        <v>2840</v>
      </c>
      <c r="C649" s="136" t="s">
        <v>1389</v>
      </c>
      <c r="D649" s="136" t="s">
        <v>1797</v>
      </c>
      <c r="E649" s="138" t="s">
        <v>1571</v>
      </c>
      <c r="F649" s="420">
        <v>43100</v>
      </c>
      <c r="G649" s="141">
        <v>759.58408999999995</v>
      </c>
      <c r="H649" s="141">
        <v>8</v>
      </c>
      <c r="I649" s="142" t="s">
        <v>189</v>
      </c>
      <c r="J649" s="141">
        <v>-70.079279999999997</v>
      </c>
      <c r="K649" s="141">
        <v>315.55839000000003</v>
      </c>
      <c r="L649" s="141">
        <v>268.61472000000003</v>
      </c>
      <c r="M649" s="142" t="s">
        <v>189</v>
      </c>
      <c r="N649" s="142" t="s">
        <v>189</v>
      </c>
      <c r="P649" s="610">
        <v>315.55839000000003</v>
      </c>
      <c r="Q649" s="141">
        <f t="shared" si="20"/>
        <v>0</v>
      </c>
    </row>
    <row r="650" spans="1:17" ht="31.5">
      <c r="A650" s="136" t="s">
        <v>2839</v>
      </c>
      <c r="B650" s="137" t="s">
        <v>2842</v>
      </c>
      <c r="C650" s="138" t="s">
        <v>845</v>
      </c>
      <c r="D650" s="138" t="s">
        <v>1456</v>
      </c>
      <c r="E650" s="136" t="s">
        <v>1571</v>
      </c>
      <c r="F650" s="419">
        <v>42735</v>
      </c>
      <c r="G650" s="140">
        <v>758.28764999999999</v>
      </c>
      <c r="H650" s="140">
        <v>8</v>
      </c>
      <c r="I650" s="140">
        <v>2.2406100000000002</v>
      </c>
      <c r="J650" s="140">
        <v>24.817329999999998</v>
      </c>
      <c r="K650" s="140">
        <v>360.49902000000003</v>
      </c>
      <c r="L650" s="140">
        <v>393.21118000000001</v>
      </c>
      <c r="M650" s="143" t="s">
        <v>189</v>
      </c>
      <c r="N650" s="140">
        <v>4.22</v>
      </c>
      <c r="P650" s="608">
        <v>360.49902000000003</v>
      </c>
      <c r="Q650" s="141">
        <f t="shared" si="20"/>
        <v>0</v>
      </c>
    </row>
    <row r="651" spans="1:17" ht="31.5">
      <c r="A651" s="138" t="s">
        <v>2841</v>
      </c>
      <c r="B651" s="135" t="s">
        <v>2844</v>
      </c>
      <c r="C651" s="136" t="s">
        <v>818</v>
      </c>
      <c r="D651" s="136" t="s">
        <v>811</v>
      </c>
      <c r="E651" s="138" t="s">
        <v>1571</v>
      </c>
      <c r="F651" s="420">
        <v>43100</v>
      </c>
      <c r="G651" s="141">
        <v>755.54865000000007</v>
      </c>
      <c r="H651" s="141">
        <v>5</v>
      </c>
      <c r="I651" s="141">
        <v>0.98658000000000001</v>
      </c>
      <c r="J651" s="141">
        <v>14.83877</v>
      </c>
      <c r="K651" s="141">
        <v>156.59813</v>
      </c>
      <c r="L651" s="141">
        <v>173.91726</v>
      </c>
      <c r="M651" s="142" t="s">
        <v>189</v>
      </c>
      <c r="N651" s="142" t="s">
        <v>189</v>
      </c>
      <c r="P651" s="610">
        <v>156.59813</v>
      </c>
      <c r="Q651" s="141">
        <f t="shared" si="20"/>
        <v>0</v>
      </c>
    </row>
    <row r="652" spans="1:17" ht="31.5">
      <c r="A652" s="136" t="s">
        <v>2843</v>
      </c>
      <c r="B652" s="137" t="s">
        <v>2846</v>
      </c>
      <c r="C652" s="138" t="s">
        <v>654</v>
      </c>
      <c r="D652" s="138" t="s">
        <v>1622</v>
      </c>
      <c r="E652" s="136" t="s">
        <v>1571</v>
      </c>
      <c r="F652" s="419">
        <v>43100</v>
      </c>
      <c r="G652" s="140">
        <v>754.19573000000003</v>
      </c>
      <c r="H652" s="140">
        <v>14</v>
      </c>
      <c r="I652" s="140">
        <v>7.6624100000000004</v>
      </c>
      <c r="J652" s="140">
        <v>19.70335</v>
      </c>
      <c r="K652" s="140">
        <v>468.71221000000003</v>
      </c>
      <c r="L652" s="140">
        <v>497.86676</v>
      </c>
      <c r="M652" s="143" t="s">
        <v>189</v>
      </c>
      <c r="N652" s="143" t="s">
        <v>189</v>
      </c>
      <c r="P652" s="608">
        <v>468.71221000000003</v>
      </c>
      <c r="Q652" s="141">
        <f t="shared" si="20"/>
        <v>0</v>
      </c>
    </row>
    <row r="653" spans="1:17" ht="31.5">
      <c r="A653" s="138" t="s">
        <v>2845</v>
      </c>
      <c r="B653" s="135" t="s">
        <v>2848</v>
      </c>
      <c r="C653" s="136" t="s">
        <v>1513</v>
      </c>
      <c r="D653" s="136" t="s">
        <v>971</v>
      </c>
      <c r="E653" s="138" t="s">
        <v>1571</v>
      </c>
      <c r="F653" s="420">
        <v>42369</v>
      </c>
      <c r="G653" s="141">
        <v>746.7444200000001</v>
      </c>
      <c r="H653" s="141">
        <v>12</v>
      </c>
      <c r="I653" s="141"/>
      <c r="J653" s="141">
        <v>-68.82929</v>
      </c>
      <c r="K653" s="141">
        <v>614.23451</v>
      </c>
      <c r="L653" s="141">
        <v>525.88819999999998</v>
      </c>
      <c r="M653" s="141">
        <v>4</v>
      </c>
      <c r="N653" s="141">
        <v>13</v>
      </c>
      <c r="O653" s="211">
        <f t="shared" si="19"/>
        <v>0.23529411764705882</v>
      </c>
      <c r="P653" s="610">
        <v>614.23451</v>
      </c>
      <c r="Q653" s="141">
        <f t="shared" si="20"/>
        <v>144.52576705882353</v>
      </c>
    </row>
    <row r="654" spans="1:17">
      <c r="A654" s="136" t="s">
        <v>2847</v>
      </c>
      <c r="B654" s="137" t="s">
        <v>2850</v>
      </c>
      <c r="C654" s="138" t="s">
        <v>875</v>
      </c>
      <c r="D654" s="138" t="s">
        <v>811</v>
      </c>
      <c r="E654" s="136" t="s">
        <v>1571</v>
      </c>
      <c r="F654" s="419">
        <v>43100</v>
      </c>
      <c r="G654" s="140">
        <v>746.68262000000004</v>
      </c>
      <c r="H654" s="140">
        <v>10</v>
      </c>
      <c r="I654" s="143" t="s">
        <v>189</v>
      </c>
      <c r="J654" s="140">
        <v>24.1462</v>
      </c>
      <c r="K654" s="140">
        <v>429.95851000000005</v>
      </c>
      <c r="L654" s="140">
        <v>480.71283000000005</v>
      </c>
      <c r="M654" s="143" t="s">
        <v>189</v>
      </c>
      <c r="N654" s="143" t="s">
        <v>189</v>
      </c>
      <c r="P654" s="608">
        <v>429.95851000000005</v>
      </c>
      <c r="Q654" s="141">
        <f t="shared" si="20"/>
        <v>0</v>
      </c>
    </row>
    <row r="655" spans="1:17" ht="21">
      <c r="A655" s="138" t="s">
        <v>2849</v>
      </c>
      <c r="B655" s="135" t="s">
        <v>2852</v>
      </c>
      <c r="C655" s="136" t="s">
        <v>1492</v>
      </c>
      <c r="D655" s="136" t="s">
        <v>1474</v>
      </c>
      <c r="E655" s="138" t="s">
        <v>1571</v>
      </c>
      <c r="F655" s="420">
        <v>43100</v>
      </c>
      <c r="G655" s="141">
        <v>744.32282000000009</v>
      </c>
      <c r="H655" s="141">
        <v>4</v>
      </c>
      <c r="I655" s="142" t="s">
        <v>189</v>
      </c>
      <c r="J655" s="141">
        <v>-27.987729999999999</v>
      </c>
      <c r="K655" s="141">
        <v>204.35737</v>
      </c>
      <c r="L655" s="141">
        <v>188.81484</v>
      </c>
      <c r="M655" s="142" t="s">
        <v>189</v>
      </c>
      <c r="N655" s="142" t="s">
        <v>189</v>
      </c>
      <c r="P655" s="610">
        <v>204.35737</v>
      </c>
      <c r="Q655" s="141">
        <f t="shared" si="20"/>
        <v>0</v>
      </c>
    </row>
    <row r="656" spans="1:17">
      <c r="A656" s="136" t="s">
        <v>2851</v>
      </c>
      <c r="B656" s="137" t="s">
        <v>2854</v>
      </c>
      <c r="C656" s="138" t="s">
        <v>771</v>
      </c>
      <c r="D656" s="138" t="s">
        <v>1208</v>
      </c>
      <c r="E656" s="136" t="s">
        <v>1571</v>
      </c>
      <c r="F656" s="419">
        <v>43100</v>
      </c>
      <c r="G656" s="140">
        <v>743.76026000000002</v>
      </c>
      <c r="H656" s="140">
        <v>6</v>
      </c>
      <c r="I656" s="140"/>
      <c r="J656" s="140">
        <v>-87.590260000000001</v>
      </c>
      <c r="K656" s="140">
        <v>315.65858000000003</v>
      </c>
      <c r="L656" s="140">
        <v>222.42147999999997</v>
      </c>
      <c r="M656" s="143" t="s">
        <v>189</v>
      </c>
      <c r="N656" s="143" t="s">
        <v>189</v>
      </c>
      <c r="P656" s="608">
        <v>315.65858000000003</v>
      </c>
      <c r="Q656" s="141">
        <f t="shared" si="20"/>
        <v>0</v>
      </c>
    </row>
    <row r="657" spans="1:17" ht="31.5">
      <c r="A657" s="138" t="s">
        <v>2853</v>
      </c>
      <c r="B657" s="135" t="s">
        <v>2856</v>
      </c>
      <c r="C657" s="136" t="s">
        <v>1065</v>
      </c>
      <c r="D657" s="136" t="s">
        <v>1279</v>
      </c>
      <c r="E657" s="138" t="s">
        <v>1571</v>
      </c>
      <c r="F657" s="420">
        <v>42735</v>
      </c>
      <c r="G657" s="141">
        <v>743.48493000000008</v>
      </c>
      <c r="H657" s="141">
        <v>8</v>
      </c>
      <c r="I657" s="142" t="s">
        <v>189</v>
      </c>
      <c r="J657" s="141">
        <v>91.26418000000001</v>
      </c>
      <c r="K657" s="141">
        <v>322.51789000000002</v>
      </c>
      <c r="L657" s="141">
        <v>552.97282000000007</v>
      </c>
      <c r="M657" s="142" t="s">
        <v>189</v>
      </c>
      <c r="N657" s="142" t="s">
        <v>189</v>
      </c>
      <c r="P657" s="610">
        <v>322.51789000000002</v>
      </c>
      <c r="Q657" s="141">
        <f t="shared" si="20"/>
        <v>0</v>
      </c>
    </row>
    <row r="658" spans="1:17" ht="42">
      <c r="A658" s="136" t="s">
        <v>2855</v>
      </c>
      <c r="B658" s="137" t="s">
        <v>2858</v>
      </c>
      <c r="C658" s="138" t="s">
        <v>1475</v>
      </c>
      <c r="D658" s="138" t="s">
        <v>1474</v>
      </c>
      <c r="E658" s="136" t="s">
        <v>1571</v>
      </c>
      <c r="F658" s="419">
        <v>42004</v>
      </c>
      <c r="G658" s="140">
        <v>743.21501000000001</v>
      </c>
      <c r="H658" s="143" t="s">
        <v>189</v>
      </c>
      <c r="I658" s="143" t="s">
        <v>189</v>
      </c>
      <c r="J658" s="140">
        <v>15.721140000000002</v>
      </c>
      <c r="K658" s="140">
        <v>144.44195999999999</v>
      </c>
      <c r="L658" s="140">
        <v>165.32785999999999</v>
      </c>
      <c r="M658" s="143" t="s">
        <v>189</v>
      </c>
      <c r="N658" s="143" t="s">
        <v>189</v>
      </c>
      <c r="P658" s="608">
        <v>144.44195999999999</v>
      </c>
      <c r="Q658" s="141">
        <f t="shared" si="20"/>
        <v>0</v>
      </c>
    </row>
    <row r="659" spans="1:17" ht="21">
      <c r="A659" s="138" t="s">
        <v>2857</v>
      </c>
      <c r="B659" s="135" t="s">
        <v>2860</v>
      </c>
      <c r="C659" s="136" t="s">
        <v>1408</v>
      </c>
      <c r="D659" s="136" t="s">
        <v>1409</v>
      </c>
      <c r="E659" s="138" t="s">
        <v>1571</v>
      </c>
      <c r="F659" s="420">
        <v>42735</v>
      </c>
      <c r="G659" s="141">
        <v>739.16425000000004</v>
      </c>
      <c r="H659" s="141">
        <v>3</v>
      </c>
      <c r="I659" s="142" t="s">
        <v>189</v>
      </c>
      <c r="J659" s="141">
        <v>16.642418999999997</v>
      </c>
      <c r="K659" s="141">
        <v>133.17910000000001</v>
      </c>
      <c r="L659" s="141">
        <v>161.90839899999997</v>
      </c>
      <c r="M659" s="142" t="s">
        <v>189</v>
      </c>
      <c r="N659" s="142" t="s">
        <v>189</v>
      </c>
      <c r="P659" s="610">
        <v>133.17910000000001</v>
      </c>
      <c r="Q659" s="141">
        <f t="shared" si="20"/>
        <v>0</v>
      </c>
    </row>
    <row r="660" spans="1:17" ht="21">
      <c r="A660" s="136" t="s">
        <v>2859</v>
      </c>
      <c r="B660" s="137" t="s">
        <v>2862</v>
      </c>
      <c r="C660" s="138" t="s">
        <v>1152</v>
      </c>
      <c r="D660" s="138" t="s">
        <v>1145</v>
      </c>
      <c r="E660" s="136" t="s">
        <v>1571</v>
      </c>
      <c r="F660" s="419">
        <v>42369</v>
      </c>
      <c r="G660" s="140">
        <v>734.07414000000006</v>
      </c>
      <c r="H660" s="140">
        <v>17</v>
      </c>
      <c r="I660" s="140">
        <v>10.33539</v>
      </c>
      <c r="J660" s="140">
        <v>32.728740000000002</v>
      </c>
      <c r="K660" s="140">
        <v>175.3629</v>
      </c>
      <c r="L660" s="140">
        <v>518.99049900000011</v>
      </c>
      <c r="M660" s="143" t="s">
        <v>189</v>
      </c>
      <c r="N660" s="143" t="s">
        <v>189</v>
      </c>
      <c r="P660" s="608">
        <v>175.3629</v>
      </c>
      <c r="Q660" s="141">
        <f t="shared" si="20"/>
        <v>0</v>
      </c>
    </row>
    <row r="661" spans="1:17" ht="42">
      <c r="A661" s="138" t="s">
        <v>2861</v>
      </c>
      <c r="B661" s="135" t="s">
        <v>2864</v>
      </c>
      <c r="C661" s="136" t="s">
        <v>761</v>
      </c>
      <c r="D661" s="136" t="s">
        <v>753</v>
      </c>
      <c r="E661" s="138" t="s">
        <v>1571</v>
      </c>
      <c r="F661" s="420">
        <v>43100</v>
      </c>
      <c r="G661" s="141">
        <v>733.16312000000005</v>
      </c>
      <c r="H661" s="141">
        <v>5</v>
      </c>
      <c r="I661" s="142" t="s">
        <v>189</v>
      </c>
      <c r="J661" s="141">
        <v>6.1101900000000002</v>
      </c>
      <c r="K661" s="141">
        <v>272.55349999999999</v>
      </c>
      <c r="L661" s="141">
        <v>285.05008000000004</v>
      </c>
      <c r="M661" s="142" t="s">
        <v>189</v>
      </c>
      <c r="N661" s="141">
        <v>1</v>
      </c>
      <c r="P661" s="610">
        <v>272.55349999999999</v>
      </c>
      <c r="Q661" s="141">
        <f t="shared" si="20"/>
        <v>0</v>
      </c>
    </row>
    <row r="662" spans="1:17" ht="21">
      <c r="A662" s="136" t="s">
        <v>2863</v>
      </c>
      <c r="B662" s="137" t="s">
        <v>2866</v>
      </c>
      <c r="C662" s="138" t="s">
        <v>1072</v>
      </c>
      <c r="D662" s="138" t="s">
        <v>969</v>
      </c>
      <c r="E662" s="136" t="s">
        <v>1571</v>
      </c>
      <c r="F662" s="419">
        <v>43100</v>
      </c>
      <c r="G662" s="140">
        <v>732.29377899999986</v>
      </c>
      <c r="H662" s="140">
        <v>3</v>
      </c>
      <c r="I662" s="143" t="s">
        <v>189</v>
      </c>
      <c r="J662" s="140">
        <v>-0.37272999999999995</v>
      </c>
      <c r="K662" s="140">
        <v>121.68089999999999</v>
      </c>
      <c r="L662" s="140">
        <v>136.58531999999997</v>
      </c>
      <c r="M662" s="143" t="s">
        <v>189</v>
      </c>
      <c r="N662" s="143" t="s">
        <v>189</v>
      </c>
      <c r="P662" s="608">
        <v>121.68089999999999</v>
      </c>
      <c r="Q662" s="141">
        <f t="shared" si="20"/>
        <v>0</v>
      </c>
    </row>
    <row r="663" spans="1:17" ht="21">
      <c r="A663" s="138" t="s">
        <v>2865</v>
      </c>
      <c r="B663" s="135" t="s">
        <v>2868</v>
      </c>
      <c r="C663" s="136" t="s">
        <v>1078</v>
      </c>
      <c r="D663" s="136" t="s">
        <v>969</v>
      </c>
      <c r="E663" s="138" t="s">
        <v>1571</v>
      </c>
      <c r="F663" s="420">
        <v>43100</v>
      </c>
      <c r="G663" s="141">
        <v>731.43256000000008</v>
      </c>
      <c r="H663" s="141">
        <v>5</v>
      </c>
      <c r="I663" s="141"/>
      <c r="J663" s="141">
        <v>-93.257459999999995</v>
      </c>
      <c r="K663" s="141">
        <v>136.27697000000001</v>
      </c>
      <c r="L663" s="141">
        <v>13.963349999999998</v>
      </c>
      <c r="M663" s="142" t="s">
        <v>189</v>
      </c>
      <c r="N663" s="142" t="s">
        <v>189</v>
      </c>
      <c r="P663" s="610">
        <v>136.27697000000001</v>
      </c>
      <c r="Q663" s="141">
        <f t="shared" si="20"/>
        <v>0</v>
      </c>
    </row>
    <row r="664" spans="1:17" ht="31.5">
      <c r="A664" s="136" t="s">
        <v>2867</v>
      </c>
      <c r="B664" s="137" t="s">
        <v>2870</v>
      </c>
      <c r="C664" s="138" t="s">
        <v>1407</v>
      </c>
      <c r="D664" s="138" t="s">
        <v>1406</v>
      </c>
      <c r="E664" s="136" t="s">
        <v>1571</v>
      </c>
      <c r="F664" s="419">
        <v>43100</v>
      </c>
      <c r="G664" s="140">
        <v>728.85416999999995</v>
      </c>
      <c r="H664" s="140">
        <v>11</v>
      </c>
      <c r="I664" s="143" t="s">
        <v>189</v>
      </c>
      <c r="J664" s="140">
        <v>10.93845</v>
      </c>
      <c r="K664" s="140">
        <v>277.94023000000004</v>
      </c>
      <c r="L664" s="140">
        <v>318.18249000000003</v>
      </c>
      <c r="M664" s="143" t="s">
        <v>189</v>
      </c>
      <c r="N664" s="143" t="s">
        <v>189</v>
      </c>
      <c r="P664" s="608">
        <v>277.94023000000004</v>
      </c>
      <c r="Q664" s="141">
        <f t="shared" si="20"/>
        <v>0</v>
      </c>
    </row>
    <row r="665" spans="1:17" ht="21">
      <c r="A665" s="138" t="s">
        <v>2869</v>
      </c>
      <c r="B665" s="135" t="s">
        <v>2872</v>
      </c>
      <c r="C665" s="136" t="s">
        <v>942</v>
      </c>
      <c r="D665" s="136" t="s">
        <v>811</v>
      </c>
      <c r="E665" s="138" t="s">
        <v>1571</v>
      </c>
      <c r="F665" s="420">
        <v>43100</v>
      </c>
      <c r="G665" s="141">
        <v>726.07271000000003</v>
      </c>
      <c r="H665" s="141">
        <v>5</v>
      </c>
      <c r="I665" s="141">
        <v>3.3685100000000001</v>
      </c>
      <c r="J665" s="141">
        <v>28.530280000000005</v>
      </c>
      <c r="K665" s="141">
        <v>156.47192999999999</v>
      </c>
      <c r="L665" s="141">
        <v>205.71457000000001</v>
      </c>
      <c r="M665" s="141">
        <v>1</v>
      </c>
      <c r="N665" s="141">
        <v>7</v>
      </c>
      <c r="O665" s="211">
        <f t="shared" si="19"/>
        <v>0.125</v>
      </c>
      <c r="P665" s="610">
        <v>156.47192999999999</v>
      </c>
      <c r="Q665" s="141">
        <f t="shared" si="20"/>
        <v>19.558991249999998</v>
      </c>
    </row>
    <row r="666" spans="1:17" ht="42">
      <c r="A666" s="136" t="s">
        <v>2871</v>
      </c>
      <c r="B666" s="137" t="s">
        <v>2874</v>
      </c>
      <c r="C666" s="138" t="s">
        <v>1352</v>
      </c>
      <c r="D666" s="138" t="s">
        <v>1341</v>
      </c>
      <c r="E666" s="136" t="s">
        <v>1571</v>
      </c>
      <c r="F666" s="419">
        <v>43100</v>
      </c>
      <c r="G666" s="140">
        <v>720.93599000000006</v>
      </c>
      <c r="H666" s="140">
        <v>11</v>
      </c>
      <c r="I666" s="140">
        <v>2.7986999999999997</v>
      </c>
      <c r="J666" s="140">
        <v>4.60989</v>
      </c>
      <c r="K666" s="140">
        <v>402.83035000000001</v>
      </c>
      <c r="L666" s="140">
        <v>412.38257000000004</v>
      </c>
      <c r="M666" s="140">
        <v>10</v>
      </c>
      <c r="N666" s="140">
        <v>2</v>
      </c>
      <c r="O666" s="211">
        <f t="shared" si="19"/>
        <v>0.83333333333333337</v>
      </c>
      <c r="P666" s="608">
        <v>402.83035000000001</v>
      </c>
      <c r="Q666" s="141">
        <f t="shared" si="20"/>
        <v>335.69195833333333</v>
      </c>
    </row>
    <row r="667" spans="1:17" ht="21">
      <c r="A667" s="138" t="s">
        <v>2873</v>
      </c>
      <c r="B667" s="135" t="s">
        <v>2876</v>
      </c>
      <c r="C667" s="136" t="s">
        <v>1538</v>
      </c>
      <c r="D667" s="136" t="s">
        <v>1279</v>
      </c>
      <c r="E667" s="138" t="s">
        <v>1571</v>
      </c>
      <c r="F667" s="420">
        <v>43100</v>
      </c>
      <c r="G667" s="141">
        <v>718.97236000000009</v>
      </c>
      <c r="H667" s="141">
        <v>4</v>
      </c>
      <c r="I667" s="141">
        <v>2.1165500000000002</v>
      </c>
      <c r="J667" s="141">
        <v>7.6823000000000006</v>
      </c>
      <c r="K667" s="141">
        <v>173.40385999999998</v>
      </c>
      <c r="L667" s="141">
        <v>202.14571000000004</v>
      </c>
      <c r="M667" s="141">
        <v>2</v>
      </c>
      <c r="N667" s="141">
        <v>8</v>
      </c>
      <c r="O667" s="211">
        <f t="shared" si="19"/>
        <v>0.2</v>
      </c>
      <c r="P667" s="610">
        <v>173.40385999999998</v>
      </c>
      <c r="Q667" s="141">
        <f t="shared" si="20"/>
        <v>34.680771999999997</v>
      </c>
    </row>
    <row r="668" spans="1:17" ht="31.5">
      <c r="A668" s="136" t="s">
        <v>2875</v>
      </c>
      <c r="B668" s="137" t="s">
        <v>2878</v>
      </c>
      <c r="C668" s="138" t="s">
        <v>989</v>
      </c>
      <c r="D668" s="138" t="s">
        <v>975</v>
      </c>
      <c r="E668" s="136" t="s">
        <v>1571</v>
      </c>
      <c r="F668" s="419">
        <v>43100</v>
      </c>
      <c r="G668" s="140">
        <v>718.78187000000003</v>
      </c>
      <c r="H668" s="140">
        <v>1</v>
      </c>
      <c r="I668" s="140">
        <v>2.8739999999999998E-2</v>
      </c>
      <c r="J668" s="140">
        <v>0.12096000000000001</v>
      </c>
      <c r="K668" s="140">
        <v>51.891410000000008</v>
      </c>
      <c r="L668" s="140">
        <v>55.074110000000005</v>
      </c>
      <c r="M668" s="140">
        <v>6</v>
      </c>
      <c r="N668" s="140">
        <v>7</v>
      </c>
      <c r="O668" s="211">
        <f t="shared" ref="O668:O728" si="21">M668/(M668+N668)</f>
        <v>0.46153846153846156</v>
      </c>
      <c r="P668" s="608">
        <v>51.891410000000008</v>
      </c>
      <c r="Q668" s="141">
        <f t="shared" si="20"/>
        <v>23.949881538461543</v>
      </c>
    </row>
    <row r="669" spans="1:17" ht="52.5">
      <c r="A669" s="138" t="s">
        <v>2877</v>
      </c>
      <c r="B669" s="135" t="s">
        <v>2880</v>
      </c>
      <c r="C669" s="136" t="s">
        <v>1357</v>
      </c>
      <c r="D669" s="136" t="s">
        <v>1341</v>
      </c>
      <c r="E669" s="138" t="s">
        <v>1571</v>
      </c>
      <c r="F669" s="420">
        <v>43100</v>
      </c>
      <c r="G669" s="141">
        <v>715.64674000000002</v>
      </c>
      <c r="H669" s="141">
        <v>6</v>
      </c>
      <c r="I669" s="142" t="s">
        <v>189</v>
      </c>
      <c r="J669" s="141">
        <v>40.98789</v>
      </c>
      <c r="K669" s="141">
        <v>128.43743000000001</v>
      </c>
      <c r="L669" s="141">
        <v>233.54191999999998</v>
      </c>
      <c r="M669" s="142" t="s">
        <v>189</v>
      </c>
      <c r="N669" s="142" t="s">
        <v>189</v>
      </c>
      <c r="P669" s="610">
        <v>128.43743000000001</v>
      </c>
      <c r="Q669" s="141">
        <f t="shared" si="20"/>
        <v>0</v>
      </c>
    </row>
    <row r="670" spans="1:17" ht="21">
      <c r="A670" s="136" t="s">
        <v>2879</v>
      </c>
      <c r="B670" s="137" t="s">
        <v>2882</v>
      </c>
      <c r="C670" s="138" t="s">
        <v>851</v>
      </c>
      <c r="D670" s="138" t="s">
        <v>811</v>
      </c>
      <c r="E670" s="136" t="s">
        <v>1571</v>
      </c>
      <c r="F670" s="419">
        <v>43100</v>
      </c>
      <c r="G670" s="140">
        <v>715.31088999999997</v>
      </c>
      <c r="H670" s="140">
        <v>6</v>
      </c>
      <c r="I670" s="140">
        <v>7.6492299999999993</v>
      </c>
      <c r="J670" s="140">
        <v>24.016080000000002</v>
      </c>
      <c r="K670" s="140">
        <v>180.45351000000002</v>
      </c>
      <c r="L670" s="140">
        <v>222.60431</v>
      </c>
      <c r="M670" s="143" t="s">
        <v>189</v>
      </c>
      <c r="N670" s="143" t="s">
        <v>189</v>
      </c>
      <c r="P670" s="608">
        <v>180.45351000000002</v>
      </c>
      <c r="Q670" s="141">
        <f t="shared" si="20"/>
        <v>0</v>
      </c>
    </row>
    <row r="671" spans="1:17" ht="21">
      <c r="A671" s="138" t="s">
        <v>2881</v>
      </c>
      <c r="B671" s="135" t="s">
        <v>2884</v>
      </c>
      <c r="C671" s="136" t="s">
        <v>1224</v>
      </c>
      <c r="D671" s="136" t="s">
        <v>1225</v>
      </c>
      <c r="E671" s="138" t="s">
        <v>1571</v>
      </c>
      <c r="F671" s="420">
        <v>43100</v>
      </c>
      <c r="G671" s="141">
        <v>709.42139899999995</v>
      </c>
      <c r="H671" s="141">
        <v>7</v>
      </c>
      <c r="I671" s="142" t="s">
        <v>189</v>
      </c>
      <c r="J671" s="141">
        <v>-5.6681100000000004</v>
      </c>
      <c r="K671" s="141">
        <v>247.79934999999998</v>
      </c>
      <c r="L671" s="141">
        <v>252.03073000000001</v>
      </c>
      <c r="M671" s="141">
        <v>1</v>
      </c>
      <c r="N671" s="141">
        <v>5</v>
      </c>
      <c r="O671" s="211">
        <f t="shared" si="21"/>
        <v>0.16666666666666666</v>
      </c>
      <c r="P671" s="610">
        <v>247.79934999999998</v>
      </c>
      <c r="Q671" s="141">
        <f t="shared" si="20"/>
        <v>41.29989166666666</v>
      </c>
    </row>
    <row r="672" spans="1:17" ht="52.5">
      <c r="A672" s="136" t="s">
        <v>2883</v>
      </c>
      <c r="B672" s="137" t="s">
        <v>2886</v>
      </c>
      <c r="C672" s="138" t="s">
        <v>927</v>
      </c>
      <c r="D672" s="138" t="s">
        <v>1279</v>
      </c>
      <c r="E672" s="136" t="s">
        <v>1571</v>
      </c>
      <c r="F672" s="419">
        <v>43100</v>
      </c>
      <c r="G672" s="140">
        <v>708.59540000000004</v>
      </c>
      <c r="H672" s="140">
        <v>7</v>
      </c>
      <c r="I672" s="140">
        <v>15.13081</v>
      </c>
      <c r="J672" s="140">
        <v>57.372759999999992</v>
      </c>
      <c r="K672" s="140">
        <v>194.06620000000001</v>
      </c>
      <c r="L672" s="140">
        <v>305.29714999999999</v>
      </c>
      <c r="M672" s="143" t="s">
        <v>189</v>
      </c>
      <c r="N672" s="143" t="s">
        <v>189</v>
      </c>
      <c r="P672" s="608">
        <v>194.06620000000001</v>
      </c>
      <c r="Q672" s="141">
        <f t="shared" si="20"/>
        <v>0</v>
      </c>
    </row>
    <row r="673" spans="1:17" ht="31.5">
      <c r="A673" s="138" t="s">
        <v>2885</v>
      </c>
      <c r="B673" s="135" t="s">
        <v>2888</v>
      </c>
      <c r="C673" s="136" t="s">
        <v>1157</v>
      </c>
      <c r="D673" s="136" t="s">
        <v>1156</v>
      </c>
      <c r="E673" s="138" t="s">
        <v>1571</v>
      </c>
      <c r="F673" s="420">
        <v>42735</v>
      </c>
      <c r="G673" s="141">
        <v>704.03294000000005</v>
      </c>
      <c r="H673" s="141">
        <v>12</v>
      </c>
      <c r="I673" s="142" t="s">
        <v>189</v>
      </c>
      <c r="J673" s="141">
        <v>18.076910000000002</v>
      </c>
      <c r="K673" s="141">
        <v>120.54422000000001</v>
      </c>
      <c r="L673" s="141">
        <v>140.57291000000001</v>
      </c>
      <c r="M673" s="142" t="s">
        <v>189</v>
      </c>
      <c r="N673" s="142" t="s">
        <v>189</v>
      </c>
      <c r="P673" s="610">
        <v>120.54422000000001</v>
      </c>
      <c r="Q673" s="141">
        <f t="shared" si="20"/>
        <v>0</v>
      </c>
    </row>
    <row r="674" spans="1:17" ht="31.5">
      <c r="A674" s="136" t="s">
        <v>2887</v>
      </c>
      <c r="B674" s="137" t="s">
        <v>2890</v>
      </c>
      <c r="C674" s="138" t="s">
        <v>594</v>
      </c>
      <c r="D674" s="138" t="s">
        <v>596</v>
      </c>
      <c r="E674" s="136" t="s">
        <v>1571</v>
      </c>
      <c r="F674" s="419">
        <v>43100</v>
      </c>
      <c r="G674" s="140">
        <v>697.17132000000004</v>
      </c>
      <c r="H674" s="140">
        <v>10</v>
      </c>
      <c r="I674" s="140">
        <v>6.3930000000000001E-2</v>
      </c>
      <c r="J674" s="140">
        <v>0.54142000000000001</v>
      </c>
      <c r="K674" s="140">
        <v>310.63996000000003</v>
      </c>
      <c r="L674" s="140">
        <v>350.81895000000003</v>
      </c>
      <c r="M674" s="143" t="s">
        <v>189</v>
      </c>
      <c r="N674" s="143" t="s">
        <v>189</v>
      </c>
      <c r="P674" s="608">
        <v>310.63996000000003</v>
      </c>
      <c r="Q674" s="141">
        <f t="shared" ref="Q674:Q737" si="22">O674*P674</f>
        <v>0</v>
      </c>
    </row>
    <row r="675" spans="1:17">
      <c r="A675" s="138" t="s">
        <v>2889</v>
      </c>
      <c r="B675" s="135" t="s">
        <v>2892</v>
      </c>
      <c r="C675" s="136" t="s">
        <v>853</v>
      </c>
      <c r="D675" s="136" t="s">
        <v>811</v>
      </c>
      <c r="E675" s="138" t="s">
        <v>1571</v>
      </c>
      <c r="F675" s="420">
        <v>43100</v>
      </c>
      <c r="G675" s="141">
        <v>695.36317999999994</v>
      </c>
      <c r="H675" s="141">
        <v>9</v>
      </c>
      <c r="I675" s="141">
        <v>0.5563499999999999</v>
      </c>
      <c r="J675" s="141">
        <v>4.7120600000000001</v>
      </c>
      <c r="K675" s="141">
        <v>234.55688999999998</v>
      </c>
      <c r="L675" s="141">
        <v>249.46027000000004</v>
      </c>
      <c r="M675" s="142" t="s">
        <v>189</v>
      </c>
      <c r="N675" s="142" t="s">
        <v>189</v>
      </c>
      <c r="P675" s="610">
        <v>234.55688999999998</v>
      </c>
      <c r="Q675" s="141">
        <f t="shared" si="22"/>
        <v>0</v>
      </c>
    </row>
    <row r="676" spans="1:17">
      <c r="A676" s="136" t="s">
        <v>2891</v>
      </c>
      <c r="B676" s="137" t="s">
        <v>2894</v>
      </c>
      <c r="C676" s="138" t="s">
        <v>874</v>
      </c>
      <c r="D676" s="138" t="s">
        <v>811</v>
      </c>
      <c r="E676" s="136" t="s">
        <v>1571</v>
      </c>
      <c r="F676" s="419">
        <v>43100</v>
      </c>
      <c r="G676" s="140">
        <v>695.2629300000001</v>
      </c>
      <c r="H676" s="140">
        <v>5</v>
      </c>
      <c r="I676" s="140">
        <v>3.1638500000000005</v>
      </c>
      <c r="J676" s="140">
        <v>10.018840000000001</v>
      </c>
      <c r="K676" s="140">
        <v>100.76627000000001</v>
      </c>
      <c r="L676" s="140">
        <v>119.00657000000001</v>
      </c>
      <c r="M676" s="140">
        <v>10</v>
      </c>
      <c r="N676" s="140">
        <v>4</v>
      </c>
      <c r="O676" s="211">
        <f t="shared" si="21"/>
        <v>0.7142857142857143</v>
      </c>
      <c r="P676" s="608">
        <v>100.76627000000001</v>
      </c>
      <c r="Q676" s="141">
        <f t="shared" si="22"/>
        <v>71.975907142857153</v>
      </c>
    </row>
    <row r="677" spans="1:17" ht="21">
      <c r="A677" s="138" t="s">
        <v>2893</v>
      </c>
      <c r="B677" s="135" t="s">
        <v>2896</v>
      </c>
      <c r="C677" s="136" t="s">
        <v>1322</v>
      </c>
      <c r="D677" s="136" t="s">
        <v>1320</v>
      </c>
      <c r="E677" s="138" t="s">
        <v>1571</v>
      </c>
      <c r="F677" s="420">
        <v>43100</v>
      </c>
      <c r="G677" s="141">
        <v>691.91219000000001</v>
      </c>
      <c r="H677" s="141">
        <v>1</v>
      </c>
      <c r="I677" s="141">
        <v>14.26956</v>
      </c>
      <c r="J677" s="141">
        <v>20.979309999999998</v>
      </c>
      <c r="K677" s="141">
        <v>74.184070000000006</v>
      </c>
      <c r="L677" s="141">
        <v>113.34833999999999</v>
      </c>
      <c r="M677" s="141">
        <v>1</v>
      </c>
      <c r="N677" s="141">
        <v>5</v>
      </c>
      <c r="O677" s="211">
        <f t="shared" si="21"/>
        <v>0.16666666666666666</v>
      </c>
      <c r="P677" s="610">
        <v>74.184070000000006</v>
      </c>
      <c r="Q677" s="141">
        <f t="shared" si="22"/>
        <v>12.364011666666666</v>
      </c>
    </row>
    <row r="678" spans="1:17">
      <c r="A678" s="136" t="s">
        <v>2895</v>
      </c>
      <c r="B678" s="137" t="s">
        <v>2898</v>
      </c>
      <c r="C678" s="138" t="s">
        <v>1130</v>
      </c>
      <c r="D678" s="138" t="s">
        <v>1112</v>
      </c>
      <c r="E678" s="136" t="s">
        <v>1571</v>
      </c>
      <c r="F678" s="419">
        <v>42735</v>
      </c>
      <c r="G678" s="140">
        <v>690.25084000000015</v>
      </c>
      <c r="H678" s="140">
        <v>6</v>
      </c>
      <c r="I678" s="140">
        <v>0.16328000000000001</v>
      </c>
      <c r="J678" s="140">
        <v>31.203530000000001</v>
      </c>
      <c r="K678" s="140">
        <v>93.270120000000006</v>
      </c>
      <c r="L678" s="140">
        <v>131.229769</v>
      </c>
      <c r="M678" s="143" t="s">
        <v>189</v>
      </c>
      <c r="N678" s="143" t="s">
        <v>189</v>
      </c>
      <c r="P678" s="608">
        <v>93.270120000000006</v>
      </c>
      <c r="Q678" s="141">
        <f t="shared" si="22"/>
        <v>0</v>
      </c>
    </row>
    <row r="679" spans="1:17" ht="31.5">
      <c r="A679" s="138" t="s">
        <v>2897</v>
      </c>
      <c r="B679" s="135" t="s">
        <v>2900</v>
      </c>
      <c r="C679" s="136" t="s">
        <v>1073</v>
      </c>
      <c r="D679" s="136" t="s">
        <v>969</v>
      </c>
      <c r="E679" s="138" t="s">
        <v>1571</v>
      </c>
      <c r="F679" s="420">
        <v>43100</v>
      </c>
      <c r="G679" s="141">
        <v>688.75727999999992</v>
      </c>
      <c r="H679" s="141">
        <v>4</v>
      </c>
      <c r="I679" s="141">
        <v>2.07456</v>
      </c>
      <c r="J679" s="141">
        <v>8.7304499999999994</v>
      </c>
      <c r="K679" s="141">
        <v>196.06357</v>
      </c>
      <c r="L679" s="141">
        <v>222.58506</v>
      </c>
      <c r="M679" s="141">
        <v>4</v>
      </c>
      <c r="N679" s="141">
        <v>3</v>
      </c>
      <c r="O679" s="211">
        <f t="shared" si="21"/>
        <v>0.5714285714285714</v>
      </c>
      <c r="P679" s="610">
        <v>196.06357</v>
      </c>
      <c r="Q679" s="141">
        <f t="shared" si="22"/>
        <v>112.03632571428571</v>
      </c>
    </row>
    <row r="680" spans="1:17" ht="21">
      <c r="A680" s="136" t="s">
        <v>2899</v>
      </c>
      <c r="B680" s="137" t="s">
        <v>2902</v>
      </c>
      <c r="C680" s="138" t="s">
        <v>1452</v>
      </c>
      <c r="D680" s="138" t="s">
        <v>1451</v>
      </c>
      <c r="E680" s="136" t="s">
        <v>1571</v>
      </c>
      <c r="F680" s="419">
        <v>43100</v>
      </c>
      <c r="G680" s="140">
        <v>688.3516699999999</v>
      </c>
      <c r="H680" s="140">
        <v>5</v>
      </c>
      <c r="I680" s="140">
        <v>2.0480900000000002</v>
      </c>
      <c r="J680" s="140">
        <v>8.4122100000000017</v>
      </c>
      <c r="K680" s="140">
        <v>86.962000000000003</v>
      </c>
      <c r="L680" s="140">
        <v>104.75678000000001</v>
      </c>
      <c r="M680" s="140">
        <v>4</v>
      </c>
      <c r="N680" s="143" t="s">
        <v>189</v>
      </c>
      <c r="P680" s="608">
        <v>86.962000000000003</v>
      </c>
      <c r="Q680" s="141">
        <f t="shared" si="22"/>
        <v>0</v>
      </c>
    </row>
    <row r="681" spans="1:17" ht="21">
      <c r="A681" s="138" t="s">
        <v>2901</v>
      </c>
      <c r="B681" s="135" t="s">
        <v>2904</v>
      </c>
      <c r="C681" s="136" t="s">
        <v>1101</v>
      </c>
      <c r="D681" s="136" t="s">
        <v>969</v>
      </c>
      <c r="E681" s="138" t="s">
        <v>1571</v>
      </c>
      <c r="F681" s="420">
        <v>43100</v>
      </c>
      <c r="G681" s="141">
        <v>684.05110000000002</v>
      </c>
      <c r="H681" s="141">
        <v>2</v>
      </c>
      <c r="I681" s="141">
        <v>0.84243999999999997</v>
      </c>
      <c r="J681" s="141">
        <v>2.16628</v>
      </c>
      <c r="K681" s="141">
        <v>123.08004</v>
      </c>
      <c r="L681" s="141">
        <v>128.67398</v>
      </c>
      <c r="M681" s="142" t="s">
        <v>189</v>
      </c>
      <c r="N681" s="142" t="s">
        <v>189</v>
      </c>
      <c r="P681" s="610">
        <v>123.08004</v>
      </c>
      <c r="Q681" s="141">
        <f t="shared" si="22"/>
        <v>0</v>
      </c>
    </row>
    <row r="682" spans="1:17" ht="21">
      <c r="A682" s="136" t="s">
        <v>2903</v>
      </c>
      <c r="B682" s="137" t="s">
        <v>2906</v>
      </c>
      <c r="C682" s="138" t="s">
        <v>721</v>
      </c>
      <c r="D682" s="138" t="s">
        <v>722</v>
      </c>
      <c r="E682" s="136" t="s">
        <v>1571</v>
      </c>
      <c r="F682" s="419">
        <v>43100</v>
      </c>
      <c r="G682" s="140">
        <v>678.82437000000004</v>
      </c>
      <c r="H682" s="140">
        <v>2</v>
      </c>
      <c r="I682" s="140">
        <v>6.4988200000000012</v>
      </c>
      <c r="J682" s="140">
        <v>27.349160000000001</v>
      </c>
      <c r="K682" s="140">
        <v>138.45689999999999</v>
      </c>
      <c r="L682" s="140">
        <v>185.46916000000002</v>
      </c>
      <c r="M682" s="143" t="s">
        <v>189</v>
      </c>
      <c r="N682" s="143" t="s">
        <v>189</v>
      </c>
      <c r="P682" s="608">
        <v>138.45689999999999</v>
      </c>
      <c r="Q682" s="141">
        <f t="shared" si="22"/>
        <v>0</v>
      </c>
    </row>
    <row r="683" spans="1:17" ht="31.5">
      <c r="A683" s="138" t="s">
        <v>2905</v>
      </c>
      <c r="B683" s="135" t="s">
        <v>2908</v>
      </c>
      <c r="C683" s="136" t="s">
        <v>1307</v>
      </c>
      <c r="D683" s="136" t="s">
        <v>1305</v>
      </c>
      <c r="E683" s="138" t="s">
        <v>1571</v>
      </c>
      <c r="F683" s="420">
        <v>43100</v>
      </c>
      <c r="G683" s="141">
        <v>676.88128899999992</v>
      </c>
      <c r="H683" s="141">
        <v>3</v>
      </c>
      <c r="I683" s="141">
        <v>8.2583079999999995</v>
      </c>
      <c r="J683" s="141">
        <v>34.753740000000001</v>
      </c>
      <c r="K683" s="141">
        <v>143.17514000000003</v>
      </c>
      <c r="L683" s="141">
        <v>193.11922800000002</v>
      </c>
      <c r="M683" s="142" t="s">
        <v>189</v>
      </c>
      <c r="N683" s="142" t="s">
        <v>189</v>
      </c>
      <c r="P683" s="610">
        <v>143.17514000000003</v>
      </c>
      <c r="Q683" s="141">
        <f t="shared" si="22"/>
        <v>0</v>
      </c>
    </row>
    <row r="684" spans="1:17" ht="31.5">
      <c r="A684" s="136" t="s">
        <v>2907</v>
      </c>
      <c r="B684" s="137" t="s">
        <v>2910</v>
      </c>
      <c r="C684" s="138" t="s">
        <v>960</v>
      </c>
      <c r="D684" s="138" t="s">
        <v>811</v>
      </c>
      <c r="E684" s="136" t="s">
        <v>1571</v>
      </c>
      <c r="F684" s="419">
        <v>43100</v>
      </c>
      <c r="G684" s="140">
        <v>674.45222999999999</v>
      </c>
      <c r="H684" s="140">
        <v>5</v>
      </c>
      <c r="I684" s="143" t="s">
        <v>189</v>
      </c>
      <c r="J684" s="140">
        <v>25.394480000000005</v>
      </c>
      <c r="K684" s="140">
        <v>187.96587999999997</v>
      </c>
      <c r="L684" s="140">
        <v>229.04743999999999</v>
      </c>
      <c r="M684" s="143" t="s">
        <v>189</v>
      </c>
      <c r="N684" s="143" t="s">
        <v>189</v>
      </c>
      <c r="P684" s="608">
        <v>187.96587999999997</v>
      </c>
      <c r="Q684" s="141">
        <f t="shared" si="22"/>
        <v>0</v>
      </c>
    </row>
    <row r="685" spans="1:17" ht="42">
      <c r="A685" s="138" t="s">
        <v>2909</v>
      </c>
      <c r="B685" s="135" t="s">
        <v>2912</v>
      </c>
      <c r="C685" s="136" t="s">
        <v>940</v>
      </c>
      <c r="D685" s="136" t="s">
        <v>811</v>
      </c>
      <c r="E685" s="138" t="s">
        <v>1571</v>
      </c>
      <c r="F685" s="420">
        <v>43100</v>
      </c>
      <c r="G685" s="141">
        <v>669.96613000000002</v>
      </c>
      <c r="H685" s="141">
        <v>10</v>
      </c>
      <c r="I685" s="141"/>
      <c r="J685" s="141">
        <v>73.754739999999998</v>
      </c>
      <c r="K685" s="141">
        <v>342.64291000000003</v>
      </c>
      <c r="L685" s="141">
        <v>424.46393000000006</v>
      </c>
      <c r="M685" s="141">
        <v>4</v>
      </c>
      <c r="N685" s="141">
        <v>8</v>
      </c>
      <c r="O685" s="211">
        <f t="shared" si="21"/>
        <v>0.33333333333333331</v>
      </c>
      <c r="P685" s="610">
        <v>342.64291000000003</v>
      </c>
      <c r="Q685" s="141">
        <f t="shared" si="22"/>
        <v>114.21430333333333</v>
      </c>
    </row>
    <row r="686" spans="1:17">
      <c r="A686" s="136" t="s">
        <v>2911</v>
      </c>
      <c r="B686" s="137" t="s">
        <v>2914</v>
      </c>
      <c r="C686" s="138" t="s">
        <v>769</v>
      </c>
      <c r="D686" s="138" t="s">
        <v>753</v>
      </c>
      <c r="E686" s="136" t="s">
        <v>1571</v>
      </c>
      <c r="F686" s="419">
        <v>43100</v>
      </c>
      <c r="G686" s="140">
        <v>656.55254000000002</v>
      </c>
      <c r="H686" s="140">
        <v>7</v>
      </c>
      <c r="I686" s="140">
        <v>12.167240000000001</v>
      </c>
      <c r="J686" s="140">
        <v>33.642209999999999</v>
      </c>
      <c r="K686" s="140">
        <v>311.36225999999999</v>
      </c>
      <c r="L686" s="140">
        <v>419.65729000000005</v>
      </c>
      <c r="M686" s="143" t="s">
        <v>189</v>
      </c>
      <c r="N686" s="140">
        <v>7</v>
      </c>
      <c r="P686" s="608">
        <v>311.36225999999999</v>
      </c>
      <c r="Q686" s="141">
        <f t="shared" si="22"/>
        <v>0</v>
      </c>
    </row>
    <row r="687" spans="1:17" ht="63">
      <c r="A687" s="138" t="s">
        <v>2913</v>
      </c>
      <c r="B687" s="135" t="s">
        <v>2916</v>
      </c>
      <c r="C687" s="136" t="s">
        <v>1308</v>
      </c>
      <c r="D687" s="136" t="s">
        <v>1305</v>
      </c>
      <c r="E687" s="138" t="s">
        <v>1571</v>
      </c>
      <c r="F687" s="420">
        <v>43100</v>
      </c>
      <c r="G687" s="141">
        <v>654.54300000000001</v>
      </c>
      <c r="H687" s="141">
        <v>3</v>
      </c>
      <c r="I687" s="141">
        <v>3.1532</v>
      </c>
      <c r="J687" s="141">
        <v>26.03012</v>
      </c>
      <c r="K687" s="141">
        <v>101.17953999999999</v>
      </c>
      <c r="L687" s="141">
        <v>137.52602999999999</v>
      </c>
      <c r="M687" s="142" t="s">
        <v>189</v>
      </c>
      <c r="N687" s="142" t="s">
        <v>189</v>
      </c>
      <c r="P687" s="610">
        <v>101.17953999999999</v>
      </c>
      <c r="Q687" s="141">
        <f t="shared" si="22"/>
        <v>0</v>
      </c>
    </row>
    <row r="688" spans="1:17" ht="31.5">
      <c r="A688" s="136" t="s">
        <v>2915</v>
      </c>
      <c r="B688" s="137" t="s">
        <v>2918</v>
      </c>
      <c r="C688" s="138" t="s">
        <v>1232</v>
      </c>
      <c r="D688" s="138" t="s">
        <v>1235</v>
      </c>
      <c r="E688" s="136" t="s">
        <v>1571</v>
      </c>
      <c r="F688" s="419">
        <v>43100</v>
      </c>
      <c r="G688" s="140">
        <v>649.18465000000003</v>
      </c>
      <c r="H688" s="140">
        <v>7</v>
      </c>
      <c r="I688" s="140">
        <v>4.4013800000000005</v>
      </c>
      <c r="J688" s="140">
        <v>138.94237000000001</v>
      </c>
      <c r="K688" s="140">
        <v>201.57407999999998</v>
      </c>
      <c r="L688" s="140">
        <v>371.24912900000004</v>
      </c>
      <c r="M688" s="143" t="s">
        <v>189</v>
      </c>
      <c r="N688" s="140">
        <v>2</v>
      </c>
      <c r="P688" s="608">
        <v>201.57407999999998</v>
      </c>
      <c r="Q688" s="141">
        <f t="shared" si="22"/>
        <v>0</v>
      </c>
    </row>
    <row r="689" spans="1:17" ht="21">
      <c r="A689" s="138" t="s">
        <v>2917</v>
      </c>
      <c r="B689" s="135" t="s">
        <v>2920</v>
      </c>
      <c r="C689" s="136" t="s">
        <v>1000</v>
      </c>
      <c r="D689" s="136" t="s">
        <v>975</v>
      </c>
      <c r="E689" s="138" t="s">
        <v>1571</v>
      </c>
      <c r="F689" s="420">
        <v>41639</v>
      </c>
      <c r="G689" s="141">
        <v>648.137519</v>
      </c>
      <c r="H689" s="141">
        <v>9</v>
      </c>
      <c r="I689" s="142" t="s">
        <v>189</v>
      </c>
      <c r="J689" s="141">
        <v>-133.35947999999999</v>
      </c>
      <c r="K689" s="141">
        <v>302.70478000000003</v>
      </c>
      <c r="L689" s="141">
        <v>181.90182999999999</v>
      </c>
      <c r="M689" s="142" t="s">
        <v>189</v>
      </c>
      <c r="N689" s="142" t="s">
        <v>189</v>
      </c>
      <c r="P689" s="610">
        <v>302.70478000000003</v>
      </c>
      <c r="Q689" s="141">
        <f t="shared" si="22"/>
        <v>0</v>
      </c>
    </row>
    <row r="690" spans="1:17" ht="31.5">
      <c r="A690" s="136" t="s">
        <v>2919</v>
      </c>
      <c r="B690" s="137" t="s">
        <v>2922</v>
      </c>
      <c r="C690" s="138" t="s">
        <v>1543</v>
      </c>
      <c r="D690" s="138" t="s">
        <v>1279</v>
      </c>
      <c r="E690" s="136" t="s">
        <v>1571</v>
      </c>
      <c r="F690" s="419">
        <v>43100</v>
      </c>
      <c r="G690" s="140">
        <v>647.31596999999999</v>
      </c>
      <c r="H690" s="143" t="s">
        <v>189</v>
      </c>
      <c r="I690" s="143" t="s">
        <v>189</v>
      </c>
      <c r="J690" s="140">
        <v>12.446949999999999</v>
      </c>
      <c r="K690" s="140">
        <v>244.76973000000001</v>
      </c>
      <c r="L690" s="140">
        <v>271.17702000000003</v>
      </c>
      <c r="M690" s="143" t="s">
        <v>189</v>
      </c>
      <c r="N690" s="143" t="s">
        <v>189</v>
      </c>
      <c r="P690" s="608">
        <v>244.76973000000001</v>
      </c>
      <c r="Q690" s="141">
        <f t="shared" si="22"/>
        <v>0</v>
      </c>
    </row>
    <row r="691" spans="1:17" ht="21">
      <c r="A691" s="138" t="s">
        <v>2921</v>
      </c>
      <c r="B691" s="135" t="s">
        <v>2924</v>
      </c>
      <c r="C691" s="136" t="s">
        <v>1469</v>
      </c>
      <c r="D691" s="136" t="s">
        <v>1461</v>
      </c>
      <c r="E691" s="138" t="s">
        <v>1571</v>
      </c>
      <c r="F691" s="420">
        <v>43100</v>
      </c>
      <c r="G691" s="141">
        <v>646.92646999999999</v>
      </c>
      <c r="H691" s="141">
        <v>7</v>
      </c>
      <c r="I691" s="141">
        <v>0.31604000000000004</v>
      </c>
      <c r="J691" s="141">
        <v>1.1728699999999999</v>
      </c>
      <c r="K691" s="141">
        <v>201.31174000000001</v>
      </c>
      <c r="L691" s="141">
        <v>209.76476000000002</v>
      </c>
      <c r="M691" s="142" t="s">
        <v>189</v>
      </c>
      <c r="N691" s="142" t="s">
        <v>189</v>
      </c>
      <c r="P691" s="610">
        <v>201.31174000000001</v>
      </c>
      <c r="Q691" s="141">
        <f t="shared" si="22"/>
        <v>0</v>
      </c>
    </row>
    <row r="692" spans="1:17" ht="21">
      <c r="A692" s="136" t="s">
        <v>2923</v>
      </c>
      <c r="B692" s="137" t="s">
        <v>2926</v>
      </c>
      <c r="C692" s="138" t="s">
        <v>679</v>
      </c>
      <c r="D692" s="138" t="s">
        <v>673</v>
      </c>
      <c r="E692" s="136" t="s">
        <v>1571</v>
      </c>
      <c r="F692" s="419">
        <v>43100</v>
      </c>
      <c r="G692" s="140">
        <v>646.84603900000002</v>
      </c>
      <c r="H692" s="140">
        <v>12</v>
      </c>
      <c r="I692" s="140">
        <v>-0.14610000000000001</v>
      </c>
      <c r="J692" s="140">
        <v>-85.437470000000005</v>
      </c>
      <c r="K692" s="140">
        <v>365.05679000000003</v>
      </c>
      <c r="L692" s="140">
        <v>285.11256000000003</v>
      </c>
      <c r="M692" s="143" t="s">
        <v>189</v>
      </c>
      <c r="N692" s="143" t="s">
        <v>189</v>
      </c>
      <c r="P692" s="608">
        <v>365.05679000000003</v>
      </c>
      <c r="Q692" s="141">
        <f t="shared" si="22"/>
        <v>0</v>
      </c>
    </row>
    <row r="693" spans="1:17">
      <c r="A693" s="138" t="s">
        <v>2925</v>
      </c>
      <c r="B693" s="135" t="s">
        <v>2928</v>
      </c>
      <c r="C693" s="136" t="s">
        <v>1405</v>
      </c>
      <c r="D693" s="136" t="s">
        <v>1404</v>
      </c>
      <c r="E693" s="138" t="s">
        <v>1571</v>
      </c>
      <c r="F693" s="420">
        <v>43100</v>
      </c>
      <c r="G693" s="141">
        <v>644.38867999999991</v>
      </c>
      <c r="H693" s="141">
        <v>7</v>
      </c>
      <c r="I693" s="142" t="s">
        <v>189</v>
      </c>
      <c r="J693" s="141">
        <v>9.0401100000000003</v>
      </c>
      <c r="K693" s="141">
        <v>303.94564999999994</v>
      </c>
      <c r="L693" s="141">
        <v>318.21396000000004</v>
      </c>
      <c r="M693" s="142" t="s">
        <v>189</v>
      </c>
      <c r="N693" s="142" t="s">
        <v>189</v>
      </c>
      <c r="P693" s="610">
        <v>303.94564999999994</v>
      </c>
      <c r="Q693" s="141">
        <f t="shared" si="22"/>
        <v>0</v>
      </c>
    </row>
    <row r="694" spans="1:17" ht="31.5">
      <c r="A694" s="136" t="s">
        <v>2927</v>
      </c>
      <c r="B694" s="137" t="s">
        <v>2930</v>
      </c>
      <c r="C694" s="138" t="s">
        <v>952</v>
      </c>
      <c r="D694" s="138" t="s">
        <v>811</v>
      </c>
      <c r="E694" s="136" t="s">
        <v>1571</v>
      </c>
      <c r="F694" s="419">
        <v>43100</v>
      </c>
      <c r="G694" s="140">
        <v>641.15925000000004</v>
      </c>
      <c r="H694" s="140">
        <v>10</v>
      </c>
      <c r="I694" s="143" t="s">
        <v>189</v>
      </c>
      <c r="J694" s="140">
        <v>39.991019999999999</v>
      </c>
      <c r="K694" s="140">
        <v>415.22529000000003</v>
      </c>
      <c r="L694" s="140">
        <v>472.32815999999997</v>
      </c>
      <c r="M694" s="140">
        <v>3</v>
      </c>
      <c r="N694" s="140">
        <v>6</v>
      </c>
      <c r="O694" s="211">
        <f t="shared" si="21"/>
        <v>0.33333333333333331</v>
      </c>
      <c r="P694" s="608">
        <v>415.22529000000003</v>
      </c>
      <c r="Q694" s="141">
        <f t="shared" si="22"/>
        <v>138.40843000000001</v>
      </c>
    </row>
    <row r="695" spans="1:17">
      <c r="A695" s="138" t="s">
        <v>2929</v>
      </c>
      <c r="B695" s="135" t="s">
        <v>2932</v>
      </c>
      <c r="C695" s="136" t="s">
        <v>784</v>
      </c>
      <c r="D695" s="136" t="s">
        <v>785</v>
      </c>
      <c r="E695" s="138" t="s">
        <v>1571</v>
      </c>
      <c r="F695" s="420">
        <v>43100</v>
      </c>
      <c r="G695" s="141">
        <v>637.65862000000004</v>
      </c>
      <c r="H695" s="141">
        <v>3</v>
      </c>
      <c r="I695" s="142" t="s">
        <v>189</v>
      </c>
      <c r="J695" s="141">
        <v>-33.982870000000005</v>
      </c>
      <c r="K695" s="141">
        <v>169.99966000000001</v>
      </c>
      <c r="L695" s="141">
        <v>166.99278000000001</v>
      </c>
      <c r="M695" s="142" t="s">
        <v>189</v>
      </c>
      <c r="N695" s="142" t="s">
        <v>189</v>
      </c>
      <c r="P695" s="610">
        <v>169.99966000000001</v>
      </c>
      <c r="Q695" s="141">
        <f t="shared" si="22"/>
        <v>0</v>
      </c>
    </row>
    <row r="696" spans="1:17" ht="31.5">
      <c r="A696" s="136" t="s">
        <v>2931</v>
      </c>
      <c r="B696" s="137" t="s">
        <v>2934</v>
      </c>
      <c r="C696" s="138" t="s">
        <v>1233</v>
      </c>
      <c r="D696" s="138" t="s">
        <v>1235</v>
      </c>
      <c r="E696" s="136" t="s">
        <v>1571</v>
      </c>
      <c r="F696" s="419">
        <v>43100</v>
      </c>
      <c r="G696" s="140">
        <v>631.71305000000007</v>
      </c>
      <c r="H696" s="140">
        <v>3</v>
      </c>
      <c r="I696" s="140">
        <v>2.4973000000000001</v>
      </c>
      <c r="J696" s="140">
        <v>10.50949</v>
      </c>
      <c r="K696" s="140">
        <v>147.36794999999998</v>
      </c>
      <c r="L696" s="140">
        <v>174.58948999999998</v>
      </c>
      <c r="M696" s="143" t="s">
        <v>189</v>
      </c>
      <c r="N696" s="140">
        <v>1</v>
      </c>
      <c r="P696" s="608">
        <v>147.36794999999998</v>
      </c>
      <c r="Q696" s="141">
        <f t="shared" si="22"/>
        <v>0</v>
      </c>
    </row>
    <row r="697" spans="1:17" ht="21">
      <c r="A697" s="138" t="s">
        <v>2933</v>
      </c>
      <c r="B697" s="135" t="s">
        <v>2936</v>
      </c>
      <c r="C697" s="136" t="s">
        <v>828</v>
      </c>
      <c r="D697" s="136" t="s">
        <v>811</v>
      </c>
      <c r="E697" s="138" t="s">
        <v>1571</v>
      </c>
      <c r="F697" s="420">
        <v>42735</v>
      </c>
      <c r="G697" s="141">
        <v>631.34526999999991</v>
      </c>
      <c r="H697" s="141">
        <v>7</v>
      </c>
      <c r="I697" s="142" t="s">
        <v>189</v>
      </c>
      <c r="J697" s="141">
        <v>-214.12014000000002</v>
      </c>
      <c r="K697" s="141">
        <v>178.05861000000002</v>
      </c>
      <c r="L697" s="141">
        <v>-20.96555</v>
      </c>
      <c r="M697" s="142" t="s">
        <v>189</v>
      </c>
      <c r="N697" s="142" t="s">
        <v>189</v>
      </c>
      <c r="P697" s="610">
        <v>178.05861000000002</v>
      </c>
      <c r="Q697" s="141">
        <f t="shared" si="22"/>
        <v>0</v>
      </c>
    </row>
    <row r="698" spans="1:17" ht="73.5">
      <c r="A698" s="136" t="s">
        <v>2935</v>
      </c>
      <c r="B698" s="137" t="s">
        <v>2938</v>
      </c>
      <c r="C698" s="138" t="s">
        <v>1395</v>
      </c>
      <c r="D698" s="138" t="s">
        <v>1393</v>
      </c>
      <c r="E698" s="136" t="s">
        <v>1571</v>
      </c>
      <c r="F698" s="419">
        <v>43100</v>
      </c>
      <c r="G698" s="140">
        <v>630.0445400000001</v>
      </c>
      <c r="H698" s="143" t="s">
        <v>189</v>
      </c>
      <c r="I698" s="143" t="s">
        <v>189</v>
      </c>
      <c r="J698" s="140">
        <v>-36.792529999999999</v>
      </c>
      <c r="K698" s="140">
        <v>111.83915000000002</v>
      </c>
      <c r="L698" s="140">
        <v>91.442520000000002</v>
      </c>
      <c r="M698" s="143" t="s">
        <v>189</v>
      </c>
      <c r="N698" s="143" t="s">
        <v>189</v>
      </c>
      <c r="P698" s="608">
        <v>111.83915000000002</v>
      </c>
      <c r="Q698" s="141">
        <f t="shared" si="22"/>
        <v>0</v>
      </c>
    </row>
    <row r="699" spans="1:17" ht="31.5">
      <c r="A699" s="138" t="s">
        <v>2937</v>
      </c>
      <c r="B699" s="135" t="s">
        <v>2940</v>
      </c>
      <c r="C699" s="136" t="s">
        <v>1317</v>
      </c>
      <c r="D699" s="136" t="s">
        <v>1316</v>
      </c>
      <c r="E699" s="138" t="s">
        <v>1571</v>
      </c>
      <c r="F699" s="420">
        <v>43100</v>
      </c>
      <c r="G699" s="141">
        <v>623.70589000000007</v>
      </c>
      <c r="H699" s="141">
        <v>6</v>
      </c>
      <c r="I699" s="142" t="s">
        <v>189</v>
      </c>
      <c r="J699" s="141">
        <v>-47.827970000000001</v>
      </c>
      <c r="K699" s="141">
        <v>206.06631999999999</v>
      </c>
      <c r="L699" s="141">
        <v>173.71566000000001</v>
      </c>
      <c r="M699" s="142" t="s">
        <v>189</v>
      </c>
      <c r="N699" s="142" t="s">
        <v>189</v>
      </c>
      <c r="P699" s="610">
        <v>206.06631999999999</v>
      </c>
      <c r="Q699" s="141">
        <f t="shared" si="22"/>
        <v>0</v>
      </c>
    </row>
    <row r="700" spans="1:17">
      <c r="A700" s="136" t="s">
        <v>2939</v>
      </c>
      <c r="B700" s="137" t="s">
        <v>2942</v>
      </c>
      <c r="C700" s="138" t="s">
        <v>1189</v>
      </c>
      <c r="D700" s="138" t="s">
        <v>1190</v>
      </c>
      <c r="E700" s="136" t="s">
        <v>1571</v>
      </c>
      <c r="F700" s="419">
        <v>43100</v>
      </c>
      <c r="G700" s="140">
        <v>616.99599000000001</v>
      </c>
      <c r="H700" s="143" t="s">
        <v>189</v>
      </c>
      <c r="I700" s="140">
        <v>0.11866999999999998</v>
      </c>
      <c r="J700" s="140">
        <v>0.37580000000000002</v>
      </c>
      <c r="K700" s="140">
        <v>263.76850000000002</v>
      </c>
      <c r="L700" s="140">
        <v>353.33805000000001</v>
      </c>
      <c r="M700" s="143" t="s">
        <v>189</v>
      </c>
      <c r="N700" s="143" t="s">
        <v>189</v>
      </c>
      <c r="P700" s="608">
        <v>263.76850000000002</v>
      </c>
      <c r="Q700" s="141">
        <f t="shared" si="22"/>
        <v>0</v>
      </c>
    </row>
    <row r="701" spans="1:17" ht="21">
      <c r="A701" s="138" t="s">
        <v>2941</v>
      </c>
      <c r="B701" s="135" t="s">
        <v>2944</v>
      </c>
      <c r="C701" s="136" t="s">
        <v>1558</v>
      </c>
      <c r="D701" s="136" t="s">
        <v>1279</v>
      </c>
      <c r="E701" s="138" t="s">
        <v>1571</v>
      </c>
      <c r="F701" s="420">
        <v>43100</v>
      </c>
      <c r="G701" s="141">
        <v>615.78797999999995</v>
      </c>
      <c r="H701" s="141">
        <v>7</v>
      </c>
      <c r="I701" s="142" t="s">
        <v>189</v>
      </c>
      <c r="J701" s="141">
        <v>7.6808399999999999</v>
      </c>
      <c r="K701" s="141">
        <v>348.59403000000003</v>
      </c>
      <c r="L701" s="141">
        <v>357.77131000000003</v>
      </c>
      <c r="M701" s="141">
        <v>1</v>
      </c>
      <c r="N701" s="141">
        <v>6</v>
      </c>
      <c r="O701" s="211">
        <f t="shared" si="21"/>
        <v>0.14285714285714285</v>
      </c>
      <c r="P701" s="610">
        <v>348.59403000000003</v>
      </c>
      <c r="Q701" s="141">
        <f t="shared" si="22"/>
        <v>49.799147142857144</v>
      </c>
    </row>
    <row r="702" spans="1:17" ht="42">
      <c r="A702" s="136" t="s">
        <v>2943</v>
      </c>
      <c r="B702" s="137" t="s">
        <v>2946</v>
      </c>
      <c r="C702" s="138" t="s">
        <v>1272</v>
      </c>
      <c r="D702" s="138" t="s">
        <v>1266</v>
      </c>
      <c r="E702" s="136" t="s">
        <v>1571</v>
      </c>
      <c r="F702" s="419">
        <v>43100</v>
      </c>
      <c r="G702" s="140">
        <v>614.33819999999992</v>
      </c>
      <c r="H702" s="140">
        <v>1</v>
      </c>
      <c r="I702" s="140">
        <v>5.2230200000000009</v>
      </c>
      <c r="J702" s="140">
        <v>14.572979999999999</v>
      </c>
      <c r="K702" s="140">
        <v>75.799890000000005</v>
      </c>
      <c r="L702" s="140">
        <v>102.98228</v>
      </c>
      <c r="M702" s="143" t="s">
        <v>189</v>
      </c>
      <c r="N702" s="143" t="s">
        <v>189</v>
      </c>
      <c r="P702" s="608">
        <v>75.799890000000005</v>
      </c>
      <c r="Q702" s="141">
        <f t="shared" si="22"/>
        <v>0</v>
      </c>
    </row>
    <row r="703" spans="1:17">
      <c r="A703" s="138" t="s">
        <v>2945</v>
      </c>
      <c r="B703" s="135" t="s">
        <v>2948</v>
      </c>
      <c r="C703" s="136" t="s">
        <v>706</v>
      </c>
      <c r="D703" s="136" t="s">
        <v>705</v>
      </c>
      <c r="E703" s="138" t="s">
        <v>1571</v>
      </c>
      <c r="F703" s="420">
        <v>43100</v>
      </c>
      <c r="G703" s="141">
        <v>612.44024000000002</v>
      </c>
      <c r="H703" s="141">
        <v>1</v>
      </c>
      <c r="I703" s="141">
        <v>11.33832</v>
      </c>
      <c r="J703" s="141">
        <v>47.715410000000006</v>
      </c>
      <c r="K703" s="141">
        <v>158.29160000000002</v>
      </c>
      <c r="L703" s="141">
        <v>225.62795</v>
      </c>
      <c r="M703" s="142" t="s">
        <v>189</v>
      </c>
      <c r="N703" s="142" t="s">
        <v>189</v>
      </c>
      <c r="P703" s="610">
        <v>158.29160000000002</v>
      </c>
      <c r="Q703" s="141">
        <f t="shared" si="22"/>
        <v>0</v>
      </c>
    </row>
    <row r="704" spans="1:17" ht="21">
      <c r="A704" s="136" t="s">
        <v>2947</v>
      </c>
      <c r="B704" s="137" t="s">
        <v>2950</v>
      </c>
      <c r="C704" s="138" t="s">
        <v>1153</v>
      </c>
      <c r="D704" s="138" t="s">
        <v>1145</v>
      </c>
      <c r="E704" s="136" t="s">
        <v>1571</v>
      </c>
      <c r="F704" s="419">
        <v>43100</v>
      </c>
      <c r="G704" s="140">
        <v>612.13416900000004</v>
      </c>
      <c r="H704" s="140">
        <v>15</v>
      </c>
      <c r="I704" s="143" t="s">
        <v>189</v>
      </c>
      <c r="J704" s="140">
        <v>-389.53120000000001</v>
      </c>
      <c r="K704" s="140">
        <v>416.07087000000001</v>
      </c>
      <c r="L704" s="140">
        <v>175.981099</v>
      </c>
      <c r="M704" s="143" t="s">
        <v>189</v>
      </c>
      <c r="N704" s="143" t="s">
        <v>189</v>
      </c>
      <c r="P704" s="608">
        <v>416.07087000000001</v>
      </c>
      <c r="Q704" s="141">
        <f t="shared" si="22"/>
        <v>0</v>
      </c>
    </row>
    <row r="705" spans="1:17" ht="31.5">
      <c r="A705" s="138" t="s">
        <v>2949</v>
      </c>
      <c r="B705" s="135" t="s">
        <v>2952</v>
      </c>
      <c r="C705" s="136" t="s">
        <v>1523</v>
      </c>
      <c r="D705" s="136" t="s">
        <v>1501</v>
      </c>
      <c r="E705" s="138" t="s">
        <v>1571</v>
      </c>
      <c r="F705" s="420">
        <v>43100</v>
      </c>
      <c r="G705" s="141">
        <v>612.04512</v>
      </c>
      <c r="H705" s="141">
        <v>10</v>
      </c>
      <c r="I705" s="142" t="s">
        <v>189</v>
      </c>
      <c r="J705" s="141">
        <v>2.22627</v>
      </c>
      <c r="K705" s="141">
        <v>241.35333</v>
      </c>
      <c r="L705" s="141">
        <v>253.47702899999999</v>
      </c>
      <c r="M705" s="141">
        <v>2</v>
      </c>
      <c r="N705" s="141">
        <v>1</v>
      </c>
      <c r="O705" s="211">
        <f t="shared" si="21"/>
        <v>0.66666666666666663</v>
      </c>
      <c r="P705" s="610">
        <v>241.35333</v>
      </c>
      <c r="Q705" s="141">
        <f t="shared" si="22"/>
        <v>160.90222</v>
      </c>
    </row>
    <row r="706" spans="1:17" ht="31.5">
      <c r="A706" s="136" t="s">
        <v>2951</v>
      </c>
      <c r="B706" s="137" t="s">
        <v>2954</v>
      </c>
      <c r="C706" s="138" t="s">
        <v>1491</v>
      </c>
      <c r="D706" s="138" t="s">
        <v>1474</v>
      </c>
      <c r="E706" s="136" t="s">
        <v>1571</v>
      </c>
      <c r="F706" s="419">
        <v>43100</v>
      </c>
      <c r="G706" s="140">
        <v>610.79962999999998</v>
      </c>
      <c r="H706" s="140">
        <v>1</v>
      </c>
      <c r="I706" s="140">
        <v>37.513460000000002</v>
      </c>
      <c r="J706" s="140">
        <v>118.79264000000001</v>
      </c>
      <c r="K706" s="140">
        <v>42.074759999999998</v>
      </c>
      <c r="L706" s="140">
        <v>202.12786</v>
      </c>
      <c r="M706" s="143" t="s">
        <v>189</v>
      </c>
      <c r="N706" s="143" t="s">
        <v>189</v>
      </c>
      <c r="P706" s="608">
        <v>42.074759999999998</v>
      </c>
      <c r="Q706" s="141">
        <f t="shared" si="22"/>
        <v>0</v>
      </c>
    </row>
    <row r="707" spans="1:17" ht="31.5">
      <c r="A707" s="138" t="s">
        <v>2953</v>
      </c>
      <c r="B707" s="135" t="s">
        <v>2956</v>
      </c>
      <c r="C707" s="136" t="s">
        <v>1431</v>
      </c>
      <c r="D707" s="136" t="s">
        <v>1797</v>
      </c>
      <c r="E707" s="138" t="s">
        <v>1571</v>
      </c>
      <c r="F707" s="420">
        <v>43100</v>
      </c>
      <c r="G707" s="141">
        <v>607.78911000000005</v>
      </c>
      <c r="H707" s="141">
        <v>2</v>
      </c>
      <c r="I707" s="141">
        <v>0.82838000000000001</v>
      </c>
      <c r="J707" s="141">
        <v>3.48611</v>
      </c>
      <c r="K707" s="141">
        <v>73.21632000000001</v>
      </c>
      <c r="L707" s="141">
        <v>94.008570000000006</v>
      </c>
      <c r="M707" s="142" t="s">
        <v>189</v>
      </c>
      <c r="N707" s="142" t="s">
        <v>189</v>
      </c>
      <c r="P707" s="610">
        <v>73.21632000000001</v>
      </c>
      <c r="Q707" s="141">
        <f t="shared" si="22"/>
        <v>0</v>
      </c>
    </row>
    <row r="708" spans="1:17" ht="21">
      <c r="A708" s="136" t="s">
        <v>2955</v>
      </c>
      <c r="B708" s="137" t="s">
        <v>2958</v>
      </c>
      <c r="C708" s="138" t="s">
        <v>1487</v>
      </c>
      <c r="D708" s="138" t="s">
        <v>1474</v>
      </c>
      <c r="E708" s="136" t="s">
        <v>1571</v>
      </c>
      <c r="F708" s="419">
        <v>43100</v>
      </c>
      <c r="G708" s="140">
        <v>605.59031000000004</v>
      </c>
      <c r="H708" s="140">
        <v>7</v>
      </c>
      <c r="I708" s="140">
        <v>1.1081099999999999</v>
      </c>
      <c r="J708" s="140">
        <v>9.3853599999999986</v>
      </c>
      <c r="K708" s="140">
        <v>206.34756000000002</v>
      </c>
      <c r="L708" s="140">
        <v>221.77732999999998</v>
      </c>
      <c r="M708" s="140">
        <v>2</v>
      </c>
      <c r="N708" s="140">
        <v>3</v>
      </c>
      <c r="O708" s="211">
        <f t="shared" si="21"/>
        <v>0.4</v>
      </c>
      <c r="P708" s="608">
        <v>206.34756000000002</v>
      </c>
      <c r="Q708" s="141">
        <f t="shared" si="22"/>
        <v>82.539024000000012</v>
      </c>
    </row>
    <row r="709" spans="1:17">
      <c r="A709" s="138" t="s">
        <v>2957</v>
      </c>
      <c r="B709" s="135" t="s">
        <v>2960</v>
      </c>
      <c r="C709" s="136" t="s">
        <v>825</v>
      </c>
      <c r="D709" s="136" t="s">
        <v>811</v>
      </c>
      <c r="E709" s="138" t="s">
        <v>1571</v>
      </c>
      <c r="F709" s="420">
        <v>43100</v>
      </c>
      <c r="G709" s="141">
        <v>602.15006000000005</v>
      </c>
      <c r="H709" s="141">
        <v>4</v>
      </c>
      <c r="I709" s="142" t="s">
        <v>189</v>
      </c>
      <c r="J709" s="141">
        <v>31.39293</v>
      </c>
      <c r="K709" s="141">
        <v>227.25774000000001</v>
      </c>
      <c r="L709" s="141">
        <v>270.43943000000007</v>
      </c>
      <c r="M709" s="141">
        <v>2</v>
      </c>
      <c r="N709" s="141">
        <v>5</v>
      </c>
      <c r="O709" s="211">
        <f t="shared" si="21"/>
        <v>0.2857142857142857</v>
      </c>
      <c r="P709" s="610">
        <v>227.25774000000001</v>
      </c>
      <c r="Q709" s="141">
        <f t="shared" si="22"/>
        <v>64.930782857142859</v>
      </c>
    </row>
    <row r="710" spans="1:17">
      <c r="A710" s="136" t="s">
        <v>2959</v>
      </c>
      <c r="B710" s="137" t="s">
        <v>2962</v>
      </c>
      <c r="C710" s="138" t="s">
        <v>821</v>
      </c>
      <c r="D710" s="138" t="s">
        <v>705</v>
      </c>
      <c r="E710" s="136" t="s">
        <v>1571</v>
      </c>
      <c r="F710" s="419">
        <v>43100</v>
      </c>
      <c r="G710" s="140">
        <v>601.48658</v>
      </c>
      <c r="H710" s="140">
        <v>9</v>
      </c>
      <c r="I710" s="140">
        <v>2.3994</v>
      </c>
      <c r="J710" s="140">
        <v>10.097449999999998</v>
      </c>
      <c r="K710" s="140">
        <v>206.81531999999999</v>
      </c>
      <c r="L710" s="140">
        <v>284.32815999999997</v>
      </c>
      <c r="M710" s="143" t="s">
        <v>189</v>
      </c>
      <c r="N710" s="143" t="s">
        <v>189</v>
      </c>
      <c r="P710" s="608">
        <v>206.81531999999999</v>
      </c>
      <c r="Q710" s="141">
        <f t="shared" si="22"/>
        <v>0</v>
      </c>
    </row>
    <row r="711" spans="1:17">
      <c r="A711" s="138" t="s">
        <v>2961</v>
      </c>
      <c r="B711" s="135" t="s">
        <v>2964</v>
      </c>
      <c r="C711" s="136" t="s">
        <v>891</v>
      </c>
      <c r="D711" s="136" t="s">
        <v>811</v>
      </c>
      <c r="E711" s="138" t="s">
        <v>1571</v>
      </c>
      <c r="F711" s="420">
        <v>42735</v>
      </c>
      <c r="G711" s="141">
        <v>599.61704000000009</v>
      </c>
      <c r="H711" s="141">
        <v>4</v>
      </c>
      <c r="I711" s="141">
        <v>2.3318600000000003</v>
      </c>
      <c r="J711" s="141">
        <v>18.369740000000004</v>
      </c>
      <c r="K711" s="141">
        <v>174.94537</v>
      </c>
      <c r="L711" s="141">
        <v>218.00967000000003</v>
      </c>
      <c r="M711" s="142" t="s">
        <v>189</v>
      </c>
      <c r="N711" s="142" t="s">
        <v>189</v>
      </c>
      <c r="P711" s="610">
        <v>174.94537</v>
      </c>
      <c r="Q711" s="141">
        <f t="shared" si="22"/>
        <v>0</v>
      </c>
    </row>
    <row r="712" spans="1:17" ht="31.5">
      <c r="A712" s="136" t="s">
        <v>2963</v>
      </c>
      <c r="B712" s="137" t="s">
        <v>2966</v>
      </c>
      <c r="C712" s="138" t="s">
        <v>1106</v>
      </c>
      <c r="D712" s="138" t="s">
        <v>969</v>
      </c>
      <c r="E712" s="136" t="s">
        <v>1571</v>
      </c>
      <c r="F712" s="419">
        <v>43100</v>
      </c>
      <c r="G712" s="140">
        <v>595.84885000000008</v>
      </c>
      <c r="H712" s="140">
        <v>3</v>
      </c>
      <c r="I712" s="140">
        <v>30.396260000000002</v>
      </c>
      <c r="J712" s="140">
        <v>96.254810000000006</v>
      </c>
      <c r="K712" s="140">
        <v>167.25281999999999</v>
      </c>
      <c r="L712" s="140">
        <v>299.95994999999999</v>
      </c>
      <c r="M712" s="143" t="s">
        <v>189</v>
      </c>
      <c r="N712" s="143" t="s">
        <v>189</v>
      </c>
      <c r="O712" s="613"/>
      <c r="P712" s="608">
        <v>167.25281999999999</v>
      </c>
      <c r="Q712" s="141">
        <f t="shared" si="22"/>
        <v>0</v>
      </c>
    </row>
    <row r="713" spans="1:17" ht="42">
      <c r="A713" s="138" t="s">
        <v>2965</v>
      </c>
      <c r="B713" s="135" t="s">
        <v>2968</v>
      </c>
      <c r="C713" s="136" t="s">
        <v>1234</v>
      </c>
      <c r="D713" s="136" t="s">
        <v>1235</v>
      </c>
      <c r="E713" s="138" t="s">
        <v>1571</v>
      </c>
      <c r="F713" s="420">
        <v>43100</v>
      </c>
      <c r="G713" s="141">
        <v>595.0921699999999</v>
      </c>
      <c r="H713" s="141">
        <v>5</v>
      </c>
      <c r="I713" s="141">
        <v>5.8880200000000009</v>
      </c>
      <c r="J713" s="141">
        <v>20.143190000000001</v>
      </c>
      <c r="K713" s="141">
        <v>250.56843000000001</v>
      </c>
      <c r="L713" s="141">
        <v>285.51402000000002</v>
      </c>
      <c r="M713" s="141">
        <v>1</v>
      </c>
      <c r="N713" s="141">
        <v>5.14</v>
      </c>
      <c r="O713" s="211">
        <f t="shared" si="21"/>
        <v>0.16286644951140067</v>
      </c>
      <c r="P713" s="610">
        <v>250.56843000000001</v>
      </c>
      <c r="Q713" s="141">
        <f t="shared" si="22"/>
        <v>40.809190553745935</v>
      </c>
    </row>
    <row r="714" spans="1:17" ht="21">
      <c r="A714" s="136" t="s">
        <v>2967</v>
      </c>
      <c r="B714" s="137" t="s">
        <v>2970</v>
      </c>
      <c r="C714" s="138" t="s">
        <v>997</v>
      </c>
      <c r="D714" s="138" t="s">
        <v>975</v>
      </c>
      <c r="E714" s="136" t="s">
        <v>1571</v>
      </c>
      <c r="F714" s="419">
        <v>43100</v>
      </c>
      <c r="G714" s="140">
        <v>594.26380000000006</v>
      </c>
      <c r="H714" s="140">
        <v>6</v>
      </c>
      <c r="I714" s="140">
        <v>5.6943299999999999</v>
      </c>
      <c r="J714" s="140">
        <v>37.445959999999999</v>
      </c>
      <c r="K714" s="140">
        <v>199.35564000000002</v>
      </c>
      <c r="L714" s="140">
        <v>256.05115999999998</v>
      </c>
      <c r="M714" s="143" t="s">
        <v>189</v>
      </c>
      <c r="N714" s="143" t="s">
        <v>189</v>
      </c>
      <c r="P714" s="608">
        <v>199.35564000000002</v>
      </c>
      <c r="Q714" s="141">
        <f t="shared" si="22"/>
        <v>0</v>
      </c>
    </row>
    <row r="715" spans="1:17" ht="21">
      <c r="A715" s="138" t="s">
        <v>2969</v>
      </c>
      <c r="B715" s="135" t="s">
        <v>2972</v>
      </c>
      <c r="C715" s="136" t="s">
        <v>1082</v>
      </c>
      <c r="D715" s="136" t="s">
        <v>969</v>
      </c>
      <c r="E715" s="138" t="s">
        <v>1571</v>
      </c>
      <c r="F715" s="420">
        <v>43100</v>
      </c>
      <c r="G715" s="141">
        <v>578.26870999999994</v>
      </c>
      <c r="H715" s="141">
        <v>5</v>
      </c>
      <c r="I715" s="142" t="s">
        <v>189</v>
      </c>
      <c r="J715" s="141">
        <v>9.4928100000000004</v>
      </c>
      <c r="K715" s="141">
        <v>193.86324999999999</v>
      </c>
      <c r="L715" s="141">
        <v>208.86374000000004</v>
      </c>
      <c r="M715" s="142" t="s">
        <v>189</v>
      </c>
      <c r="N715" s="142" t="s">
        <v>189</v>
      </c>
      <c r="P715" s="610">
        <v>193.86324999999999</v>
      </c>
      <c r="Q715" s="141">
        <f t="shared" si="22"/>
        <v>0</v>
      </c>
    </row>
    <row r="716" spans="1:17">
      <c r="A716" s="136" t="s">
        <v>2971</v>
      </c>
      <c r="B716" s="139" t="s">
        <v>2974</v>
      </c>
      <c r="C716" s="138" t="s">
        <v>948</v>
      </c>
      <c r="D716" s="138" t="s">
        <v>811</v>
      </c>
      <c r="E716" s="136" t="s">
        <v>1571</v>
      </c>
      <c r="F716" s="419">
        <v>43100</v>
      </c>
      <c r="G716" s="140">
        <v>577.60327999999993</v>
      </c>
      <c r="H716" s="140">
        <v>7</v>
      </c>
      <c r="I716" s="143" t="s">
        <v>189</v>
      </c>
      <c r="J716" s="140">
        <v>6.1228000000000007</v>
      </c>
      <c r="K716" s="140">
        <v>261.12392999999997</v>
      </c>
      <c r="L716" s="140">
        <v>310.99406900000002</v>
      </c>
      <c r="M716" s="140">
        <v>1</v>
      </c>
      <c r="N716" s="140">
        <v>3</v>
      </c>
      <c r="O716" s="211">
        <f t="shared" si="21"/>
        <v>0.25</v>
      </c>
      <c r="P716" s="608">
        <v>261.12392999999997</v>
      </c>
      <c r="Q716" s="141">
        <f t="shared" si="22"/>
        <v>65.280982499999993</v>
      </c>
    </row>
    <row r="717" spans="1:17" ht="21">
      <c r="A717" s="138" t="s">
        <v>2973</v>
      </c>
      <c r="B717" s="135" t="s">
        <v>2976</v>
      </c>
      <c r="C717" s="136" t="s">
        <v>1439</v>
      </c>
      <c r="D717" s="136" t="s">
        <v>1429</v>
      </c>
      <c r="E717" s="138" t="s">
        <v>1571</v>
      </c>
      <c r="F717" s="420">
        <v>42004</v>
      </c>
      <c r="G717" s="141">
        <v>574.69883000000004</v>
      </c>
      <c r="H717" s="141">
        <v>6</v>
      </c>
      <c r="I717" s="142" t="s">
        <v>189</v>
      </c>
      <c r="J717" s="141">
        <v>-15.468250000000001</v>
      </c>
      <c r="K717" s="141">
        <v>195.08485999999999</v>
      </c>
      <c r="L717" s="141">
        <v>187.81971900000002</v>
      </c>
      <c r="M717" s="142" t="s">
        <v>189</v>
      </c>
      <c r="N717" s="142" t="s">
        <v>189</v>
      </c>
      <c r="P717" s="610">
        <v>195.08485999999999</v>
      </c>
      <c r="Q717" s="141">
        <f t="shared" si="22"/>
        <v>0</v>
      </c>
    </row>
    <row r="718" spans="1:17" ht="21">
      <c r="A718" s="136" t="s">
        <v>2975</v>
      </c>
      <c r="B718" s="137" t="s">
        <v>2978</v>
      </c>
      <c r="C718" s="138" t="s">
        <v>1087</v>
      </c>
      <c r="D718" s="138" t="s">
        <v>969</v>
      </c>
      <c r="E718" s="136" t="s">
        <v>1571</v>
      </c>
      <c r="F718" s="419">
        <v>43100</v>
      </c>
      <c r="G718" s="140">
        <v>571.82694000000004</v>
      </c>
      <c r="H718" s="140">
        <v>6</v>
      </c>
      <c r="I718" s="140">
        <v>5.2065900000000003</v>
      </c>
      <c r="J718" s="140">
        <v>21.8111</v>
      </c>
      <c r="K718" s="140">
        <v>268.00524999999999</v>
      </c>
      <c r="L718" s="140">
        <v>303.50650000000002</v>
      </c>
      <c r="M718" s="140">
        <v>1</v>
      </c>
      <c r="N718" s="140">
        <v>1</v>
      </c>
      <c r="O718" s="211">
        <f t="shared" si="21"/>
        <v>0.5</v>
      </c>
      <c r="P718" s="608">
        <v>268.00524999999999</v>
      </c>
      <c r="Q718" s="141">
        <f t="shared" si="22"/>
        <v>134.00262499999999</v>
      </c>
    </row>
    <row r="719" spans="1:17" ht="42">
      <c r="A719" s="138" t="s">
        <v>2977</v>
      </c>
      <c r="B719" s="421" t="s">
        <v>2980</v>
      </c>
      <c r="C719" s="136" t="s">
        <v>880</v>
      </c>
      <c r="D719" s="136" t="s">
        <v>1474</v>
      </c>
      <c r="E719" s="138" t="s">
        <v>1571</v>
      </c>
      <c r="F719" s="420">
        <v>42735</v>
      </c>
      <c r="G719" s="141">
        <v>566.89420999999993</v>
      </c>
      <c r="H719" s="141">
        <v>5</v>
      </c>
      <c r="I719" s="142" t="s">
        <v>189</v>
      </c>
      <c r="J719" s="141">
        <v>2.92517</v>
      </c>
      <c r="K719" s="141">
        <v>70.700090000000003</v>
      </c>
      <c r="L719" s="141">
        <v>108.7415</v>
      </c>
      <c r="M719" s="142" t="s">
        <v>189</v>
      </c>
      <c r="N719" s="142" t="s">
        <v>189</v>
      </c>
      <c r="P719" s="610">
        <v>70.700090000000003</v>
      </c>
      <c r="Q719" s="141">
        <f t="shared" si="22"/>
        <v>0</v>
      </c>
    </row>
    <row r="720" spans="1:17">
      <c r="A720" s="136" t="s">
        <v>2979</v>
      </c>
      <c r="B720" s="137" t="s">
        <v>2982</v>
      </c>
      <c r="C720" s="138" t="s">
        <v>1041</v>
      </c>
      <c r="D720" s="138" t="s">
        <v>971</v>
      </c>
      <c r="E720" s="136" t="s">
        <v>1571</v>
      </c>
      <c r="F720" s="419">
        <v>42735</v>
      </c>
      <c r="G720" s="140">
        <v>564.29620999999997</v>
      </c>
      <c r="H720" s="140">
        <v>16</v>
      </c>
      <c r="I720" s="143" t="s">
        <v>189</v>
      </c>
      <c r="J720" s="140">
        <v>110.73496</v>
      </c>
      <c r="K720" s="140">
        <v>407.96953999999999</v>
      </c>
      <c r="L720" s="140">
        <v>525.78433900000005</v>
      </c>
      <c r="M720" s="143" t="s">
        <v>189</v>
      </c>
      <c r="N720" s="143" t="s">
        <v>189</v>
      </c>
      <c r="P720" s="608">
        <v>407.96953999999999</v>
      </c>
      <c r="Q720" s="141">
        <f t="shared" si="22"/>
        <v>0</v>
      </c>
    </row>
    <row r="721" spans="1:17" ht="21">
      <c r="A721" s="138" t="s">
        <v>2981</v>
      </c>
      <c r="B721" s="135" t="s">
        <v>2984</v>
      </c>
      <c r="C721" s="136" t="s">
        <v>760</v>
      </c>
      <c r="D721" s="136" t="s">
        <v>753</v>
      </c>
      <c r="E721" s="138" t="s">
        <v>1571</v>
      </c>
      <c r="F721" s="420">
        <v>43100</v>
      </c>
      <c r="G721" s="141">
        <v>561.72778899999992</v>
      </c>
      <c r="H721" s="141">
        <v>6</v>
      </c>
      <c r="I721" s="141"/>
      <c r="J721" s="141">
        <v>-41.507249999999999</v>
      </c>
      <c r="K721" s="141">
        <v>222.85821000000001</v>
      </c>
      <c r="L721" s="141">
        <v>202.38573000000002</v>
      </c>
      <c r="M721" s="141">
        <v>1</v>
      </c>
      <c r="N721" s="141">
        <v>1</v>
      </c>
      <c r="O721" s="211">
        <f t="shared" si="21"/>
        <v>0.5</v>
      </c>
      <c r="P721" s="610">
        <v>222.85821000000001</v>
      </c>
      <c r="Q721" s="141">
        <f t="shared" si="22"/>
        <v>111.42910500000001</v>
      </c>
    </row>
    <row r="722" spans="1:17" ht="21">
      <c r="A722" s="136" t="s">
        <v>2983</v>
      </c>
      <c r="B722" s="137" t="s">
        <v>2986</v>
      </c>
      <c r="C722" s="138" t="s">
        <v>852</v>
      </c>
      <c r="D722" s="138" t="s">
        <v>811</v>
      </c>
      <c r="E722" s="136" t="s">
        <v>1571</v>
      </c>
      <c r="F722" s="419">
        <v>43100</v>
      </c>
      <c r="G722" s="140">
        <v>556.89499999999998</v>
      </c>
      <c r="H722" s="140">
        <v>1</v>
      </c>
      <c r="I722" s="140">
        <v>1.2368299999999999</v>
      </c>
      <c r="J722" s="140">
        <v>2.4901200000000001</v>
      </c>
      <c r="K722" s="140">
        <v>36.938699999999997</v>
      </c>
      <c r="L722" s="140">
        <v>44.93732</v>
      </c>
      <c r="M722" s="143" t="s">
        <v>189</v>
      </c>
      <c r="N722" s="143" t="s">
        <v>189</v>
      </c>
      <c r="P722" s="608">
        <v>36.938699999999997</v>
      </c>
      <c r="Q722" s="141">
        <f t="shared" si="22"/>
        <v>0</v>
      </c>
    </row>
    <row r="723" spans="1:17" ht="31.5">
      <c r="A723" s="138" t="s">
        <v>2985</v>
      </c>
      <c r="B723" s="135" t="s">
        <v>2988</v>
      </c>
      <c r="C723" s="136" t="s">
        <v>1114</v>
      </c>
      <c r="D723" s="136" t="s">
        <v>1112</v>
      </c>
      <c r="E723" s="138" t="s">
        <v>1571</v>
      </c>
      <c r="F723" s="420">
        <v>43100</v>
      </c>
      <c r="G723" s="141">
        <v>555.62005000000011</v>
      </c>
      <c r="H723" s="141">
        <v>6</v>
      </c>
      <c r="I723" s="141">
        <v>-0.33489999999999998</v>
      </c>
      <c r="J723" s="141">
        <v>-1.0605199999999999</v>
      </c>
      <c r="K723" s="141">
        <v>158.01029</v>
      </c>
      <c r="L723" s="141">
        <v>164.98149000000001</v>
      </c>
      <c r="M723" s="141">
        <v>2</v>
      </c>
      <c r="N723" s="141">
        <v>5</v>
      </c>
      <c r="O723" s="211">
        <f t="shared" si="21"/>
        <v>0.2857142857142857</v>
      </c>
      <c r="P723" s="610">
        <v>158.01029</v>
      </c>
      <c r="Q723" s="141">
        <f t="shared" si="22"/>
        <v>45.145797142857141</v>
      </c>
    </row>
    <row r="724" spans="1:17">
      <c r="A724" s="136" t="s">
        <v>2987</v>
      </c>
      <c r="B724" s="137" t="s">
        <v>2990</v>
      </c>
      <c r="C724" s="138" t="s">
        <v>878</v>
      </c>
      <c r="D724" s="138" t="s">
        <v>811</v>
      </c>
      <c r="E724" s="136" t="s">
        <v>1571</v>
      </c>
      <c r="F724" s="419">
        <v>42735</v>
      </c>
      <c r="G724" s="140">
        <v>551.20545000000004</v>
      </c>
      <c r="H724" s="140">
        <v>4</v>
      </c>
      <c r="I724" s="140">
        <v>1.48875</v>
      </c>
      <c r="J724" s="140">
        <v>4.3483000000000001</v>
      </c>
      <c r="K724" s="140">
        <v>134.65844000000001</v>
      </c>
      <c r="L724" s="140">
        <v>160.51385999999999</v>
      </c>
      <c r="M724" s="143" t="s">
        <v>189</v>
      </c>
      <c r="N724" s="143" t="s">
        <v>189</v>
      </c>
      <c r="P724" s="608">
        <v>134.65844000000001</v>
      </c>
      <c r="Q724" s="141">
        <f t="shared" si="22"/>
        <v>0</v>
      </c>
    </row>
    <row r="725" spans="1:17" ht="21">
      <c r="A725" s="138" t="s">
        <v>2989</v>
      </c>
      <c r="B725" s="135" t="s">
        <v>2992</v>
      </c>
      <c r="C725" s="136" t="s">
        <v>1526</v>
      </c>
      <c r="D725" s="136" t="s">
        <v>1501</v>
      </c>
      <c r="E725" s="138" t="s">
        <v>1571</v>
      </c>
      <c r="F725" s="420">
        <v>42735</v>
      </c>
      <c r="G725" s="141">
        <v>546.85736000000009</v>
      </c>
      <c r="H725" s="141">
        <v>1</v>
      </c>
      <c r="I725" s="141">
        <v>98.226039999999998</v>
      </c>
      <c r="J725" s="141">
        <v>307.60540000000003</v>
      </c>
      <c r="K725" s="141">
        <v>20.533580000000001</v>
      </c>
      <c r="L725" s="141">
        <v>465.85841000000005</v>
      </c>
      <c r="M725" s="142" t="s">
        <v>189</v>
      </c>
      <c r="N725" s="142" t="s">
        <v>189</v>
      </c>
      <c r="P725" s="610">
        <v>20.533580000000001</v>
      </c>
      <c r="Q725" s="141">
        <f t="shared" si="22"/>
        <v>0</v>
      </c>
    </row>
    <row r="726" spans="1:17" ht="42">
      <c r="A726" s="136" t="s">
        <v>2991</v>
      </c>
      <c r="B726" s="137" t="s">
        <v>2994</v>
      </c>
      <c r="C726" s="138" t="s">
        <v>1244</v>
      </c>
      <c r="D726" s="138" t="s">
        <v>1235</v>
      </c>
      <c r="E726" s="136" t="s">
        <v>1571</v>
      </c>
      <c r="F726" s="419">
        <v>43100</v>
      </c>
      <c r="G726" s="140">
        <v>541.99207999999999</v>
      </c>
      <c r="H726" s="140">
        <v>2</v>
      </c>
      <c r="I726" s="140">
        <v>0.13388000000000003</v>
      </c>
      <c r="J726" s="140">
        <v>0.56342999999999999</v>
      </c>
      <c r="K726" s="140">
        <v>77.690979999999996</v>
      </c>
      <c r="L726" s="140">
        <v>85.512639000000007</v>
      </c>
      <c r="M726" s="143" t="s">
        <v>189</v>
      </c>
      <c r="N726" s="143" t="s">
        <v>189</v>
      </c>
      <c r="P726" s="608">
        <v>77.690979999999996</v>
      </c>
      <c r="Q726" s="141">
        <f t="shared" si="22"/>
        <v>0</v>
      </c>
    </row>
    <row r="727" spans="1:17">
      <c r="A727" s="138" t="s">
        <v>2993</v>
      </c>
      <c r="B727" s="135" t="s">
        <v>2996</v>
      </c>
      <c r="C727" s="136" t="s">
        <v>908</v>
      </c>
      <c r="D727" s="136" t="s">
        <v>811</v>
      </c>
      <c r="E727" s="138" t="s">
        <v>1571</v>
      </c>
      <c r="F727" s="420">
        <v>42735</v>
      </c>
      <c r="G727" s="141">
        <v>537.141929</v>
      </c>
      <c r="H727" s="141">
        <v>15</v>
      </c>
      <c r="I727" s="141"/>
      <c r="J727" s="141">
        <v>-97.295820000000006</v>
      </c>
      <c r="K727" s="141">
        <v>387.04014999999998</v>
      </c>
      <c r="L727" s="141">
        <v>267.07923999999997</v>
      </c>
      <c r="M727" s="142" t="s">
        <v>189</v>
      </c>
      <c r="N727" s="142" t="s">
        <v>189</v>
      </c>
      <c r="P727" s="610">
        <v>387.04014999999998</v>
      </c>
      <c r="Q727" s="141">
        <f t="shared" si="22"/>
        <v>0</v>
      </c>
    </row>
    <row r="728" spans="1:17">
      <c r="A728" s="136" t="s">
        <v>2995</v>
      </c>
      <c r="B728" s="137" t="s">
        <v>2998</v>
      </c>
      <c r="C728" s="138" t="s">
        <v>1455</v>
      </c>
      <c r="D728" s="138" t="s">
        <v>1456</v>
      </c>
      <c r="E728" s="136" t="s">
        <v>1571</v>
      </c>
      <c r="F728" s="419">
        <v>43100</v>
      </c>
      <c r="G728" s="140">
        <v>534.94689900000003</v>
      </c>
      <c r="H728" s="140">
        <v>18</v>
      </c>
      <c r="I728" s="143" t="s">
        <v>189</v>
      </c>
      <c r="J728" s="140">
        <v>15.35384</v>
      </c>
      <c r="K728" s="140">
        <v>96.836529999999996</v>
      </c>
      <c r="L728" s="140">
        <v>115.62922999999999</v>
      </c>
      <c r="M728" s="140">
        <v>2</v>
      </c>
      <c r="N728" s="140">
        <v>8</v>
      </c>
      <c r="O728" s="211">
        <f t="shared" si="21"/>
        <v>0.2</v>
      </c>
      <c r="P728" s="608">
        <v>96.836529999999996</v>
      </c>
      <c r="Q728" s="141">
        <f t="shared" si="22"/>
        <v>19.367305999999999</v>
      </c>
    </row>
    <row r="729" spans="1:17">
      <c r="A729" s="138" t="s">
        <v>2997</v>
      </c>
      <c r="B729" s="135" t="s">
        <v>3000</v>
      </c>
      <c r="C729" s="136" t="s">
        <v>956</v>
      </c>
      <c r="D729" s="136" t="s">
        <v>811</v>
      </c>
      <c r="E729" s="138" t="s">
        <v>1571</v>
      </c>
      <c r="F729" s="420">
        <v>43100</v>
      </c>
      <c r="G729" s="141">
        <v>533.52467999999999</v>
      </c>
      <c r="H729" s="141">
        <v>2</v>
      </c>
      <c r="I729" s="141">
        <v>6.2646400000000009</v>
      </c>
      <c r="J729" s="141">
        <v>26.363680000000002</v>
      </c>
      <c r="K729" s="141">
        <v>70.024799999999999</v>
      </c>
      <c r="L729" s="141">
        <v>105.606549</v>
      </c>
      <c r="M729" s="142" t="s">
        <v>189</v>
      </c>
      <c r="N729" s="142" t="s">
        <v>189</v>
      </c>
      <c r="P729" s="610">
        <v>70.024799999999999</v>
      </c>
      <c r="Q729" s="141">
        <f t="shared" si="22"/>
        <v>0</v>
      </c>
    </row>
    <row r="730" spans="1:17" ht="21">
      <c r="A730" s="136" t="s">
        <v>2999</v>
      </c>
      <c r="B730" s="137" t="s">
        <v>3002</v>
      </c>
      <c r="C730" s="138" t="s">
        <v>701</v>
      </c>
      <c r="D730" s="138" t="s">
        <v>1622</v>
      </c>
      <c r="E730" s="136" t="s">
        <v>1571</v>
      </c>
      <c r="F730" s="419">
        <v>42735</v>
      </c>
      <c r="G730" s="140">
        <v>531.70377999999994</v>
      </c>
      <c r="H730" s="140">
        <v>7</v>
      </c>
      <c r="I730" s="140">
        <v>11.786720000000001</v>
      </c>
      <c r="J730" s="140">
        <v>37.324629999999999</v>
      </c>
      <c r="K730" s="140">
        <v>150.77707000000001</v>
      </c>
      <c r="L730" s="140">
        <v>225.54724000000002</v>
      </c>
      <c r="M730" s="143" t="s">
        <v>189</v>
      </c>
      <c r="N730" s="140">
        <v>1</v>
      </c>
      <c r="P730" s="608">
        <v>150.77707000000001</v>
      </c>
      <c r="Q730" s="141">
        <f t="shared" si="22"/>
        <v>0</v>
      </c>
    </row>
    <row r="731" spans="1:17" ht="21">
      <c r="A731" s="138" t="s">
        <v>3001</v>
      </c>
      <c r="B731" s="135" t="s">
        <v>3004</v>
      </c>
      <c r="C731" s="136" t="s">
        <v>1185</v>
      </c>
      <c r="D731" s="136" t="s">
        <v>1184</v>
      </c>
      <c r="E731" s="138" t="s">
        <v>1571</v>
      </c>
      <c r="F731" s="420">
        <v>43100</v>
      </c>
      <c r="G731" s="141">
        <v>531.27777999999989</v>
      </c>
      <c r="H731" s="141">
        <v>8</v>
      </c>
      <c r="I731" s="141">
        <v>7.0118999999999998</v>
      </c>
      <c r="J731" s="141">
        <v>2.4550700000000001</v>
      </c>
      <c r="K731" s="141">
        <v>275.78145000000001</v>
      </c>
      <c r="L731" s="141">
        <v>309.05809999999997</v>
      </c>
      <c r="M731" s="142" t="s">
        <v>189</v>
      </c>
      <c r="N731" s="142" t="s">
        <v>189</v>
      </c>
      <c r="P731" s="610">
        <v>275.78145000000001</v>
      </c>
      <c r="Q731" s="141">
        <f t="shared" si="22"/>
        <v>0</v>
      </c>
    </row>
    <row r="732" spans="1:17" ht="42">
      <c r="A732" s="136" t="s">
        <v>3003</v>
      </c>
      <c r="B732" s="137" t="s">
        <v>3006</v>
      </c>
      <c r="C732" s="138" t="s">
        <v>1321</v>
      </c>
      <c r="D732" s="138" t="s">
        <v>1320</v>
      </c>
      <c r="E732" s="136" t="s">
        <v>1571</v>
      </c>
      <c r="F732" s="419">
        <v>43100</v>
      </c>
      <c r="G732" s="140">
        <v>530.879819</v>
      </c>
      <c r="H732" s="140">
        <v>3</v>
      </c>
      <c r="I732" s="143" t="s">
        <v>189</v>
      </c>
      <c r="J732" s="140">
        <v>84.848739999999992</v>
      </c>
      <c r="K732" s="140">
        <v>175.95131999999998</v>
      </c>
      <c r="L732" s="140">
        <v>292.25222000000002</v>
      </c>
      <c r="M732" s="143" t="s">
        <v>189</v>
      </c>
      <c r="N732" s="143" t="s">
        <v>189</v>
      </c>
      <c r="P732" s="608">
        <v>175.95131999999998</v>
      </c>
      <c r="Q732" s="141">
        <f t="shared" si="22"/>
        <v>0</v>
      </c>
    </row>
    <row r="733" spans="1:17" ht="21">
      <c r="A733" s="138" t="s">
        <v>3005</v>
      </c>
      <c r="B733" s="135" t="s">
        <v>3008</v>
      </c>
      <c r="C733" s="136" t="s">
        <v>1113</v>
      </c>
      <c r="D733" s="136" t="s">
        <v>1112</v>
      </c>
      <c r="E733" s="138" t="s">
        <v>1571</v>
      </c>
      <c r="F733" s="420">
        <v>43100</v>
      </c>
      <c r="G733" s="141">
        <v>526.54335000000015</v>
      </c>
      <c r="H733" s="141">
        <v>6</v>
      </c>
      <c r="I733" s="141">
        <v>15.433820000000001</v>
      </c>
      <c r="J733" s="141">
        <v>64.605819999999994</v>
      </c>
      <c r="K733" s="141">
        <v>159.73117999999999</v>
      </c>
      <c r="L733" s="141">
        <v>268.85608000000002</v>
      </c>
      <c r="M733" s="142" t="s">
        <v>189</v>
      </c>
      <c r="N733" s="142" t="s">
        <v>189</v>
      </c>
      <c r="P733" s="610">
        <v>159.73117999999999</v>
      </c>
      <c r="Q733" s="141">
        <f t="shared" si="22"/>
        <v>0</v>
      </c>
    </row>
    <row r="734" spans="1:17" ht="31.5">
      <c r="A734" s="136" t="s">
        <v>3007</v>
      </c>
      <c r="B734" s="139" t="s">
        <v>3010</v>
      </c>
      <c r="C734" s="138" t="s">
        <v>625</v>
      </c>
      <c r="D734" s="138" t="s">
        <v>596</v>
      </c>
      <c r="E734" s="136" t="s">
        <v>1571</v>
      </c>
      <c r="F734" s="419">
        <v>43100</v>
      </c>
      <c r="G734" s="140">
        <v>523.27177000000006</v>
      </c>
      <c r="H734" s="140">
        <v>9</v>
      </c>
      <c r="I734" s="143" t="s">
        <v>189</v>
      </c>
      <c r="J734" s="140">
        <v>-13.639060000000001</v>
      </c>
      <c r="K734" s="140">
        <v>260.31254000000001</v>
      </c>
      <c r="L734" s="140">
        <v>303.67653999999999</v>
      </c>
      <c r="M734" s="143" t="s">
        <v>189</v>
      </c>
      <c r="N734" s="143" t="s">
        <v>189</v>
      </c>
      <c r="P734" s="608">
        <v>260.31254000000001</v>
      </c>
      <c r="Q734" s="141">
        <f t="shared" si="22"/>
        <v>0</v>
      </c>
    </row>
    <row r="735" spans="1:17" ht="52.5">
      <c r="A735" s="138" t="s">
        <v>3009</v>
      </c>
      <c r="B735" s="135" t="s">
        <v>3012</v>
      </c>
      <c r="C735" s="136" t="s">
        <v>1245</v>
      </c>
      <c r="D735" s="136" t="s">
        <v>1235</v>
      </c>
      <c r="E735" s="138" t="s">
        <v>1571</v>
      </c>
      <c r="F735" s="420">
        <v>43100</v>
      </c>
      <c r="G735" s="141">
        <v>521.42913999999996</v>
      </c>
      <c r="H735" s="141">
        <v>14</v>
      </c>
      <c r="I735" s="142" t="s">
        <v>189</v>
      </c>
      <c r="J735" s="141">
        <v>-237.38777999999999</v>
      </c>
      <c r="K735" s="141">
        <v>237.97215</v>
      </c>
      <c r="L735" s="141">
        <v>40.487098999999994</v>
      </c>
      <c r="M735" s="141">
        <v>2.2000000000000002</v>
      </c>
      <c r="N735" s="141">
        <v>2</v>
      </c>
      <c r="O735" s="211">
        <f t="shared" ref="O735:O794" si="23">M735/(M735+N735)</f>
        <v>0.52380952380952384</v>
      </c>
      <c r="P735" s="610">
        <v>237.97215</v>
      </c>
      <c r="Q735" s="141">
        <f t="shared" si="22"/>
        <v>124.65207857142858</v>
      </c>
    </row>
    <row r="736" spans="1:17">
      <c r="A736" s="136" t="s">
        <v>3011</v>
      </c>
      <c r="B736" s="137" t="s">
        <v>3014</v>
      </c>
      <c r="C736" s="138" t="s">
        <v>1034</v>
      </c>
      <c r="D736" s="138" t="s">
        <v>1027</v>
      </c>
      <c r="E736" s="136" t="s">
        <v>1571</v>
      </c>
      <c r="F736" s="419">
        <v>43100</v>
      </c>
      <c r="G736" s="140">
        <v>519.62202000000002</v>
      </c>
      <c r="H736" s="140">
        <v>10</v>
      </c>
      <c r="I736" s="143" t="s">
        <v>189</v>
      </c>
      <c r="J736" s="140">
        <v>-1.4557500000000001</v>
      </c>
      <c r="K736" s="140">
        <v>224.85516000000001</v>
      </c>
      <c r="L736" s="140">
        <v>248.59684000000001</v>
      </c>
      <c r="M736" s="143" t="s">
        <v>189</v>
      </c>
      <c r="N736" s="143" t="s">
        <v>189</v>
      </c>
      <c r="P736" s="608">
        <v>224.85516000000001</v>
      </c>
      <c r="Q736" s="141">
        <f t="shared" si="22"/>
        <v>0</v>
      </c>
    </row>
    <row r="737" spans="1:17" ht="42">
      <c r="A737" s="138" t="s">
        <v>3013</v>
      </c>
      <c r="B737" s="135" t="s">
        <v>3016</v>
      </c>
      <c r="C737" s="136" t="s">
        <v>941</v>
      </c>
      <c r="D737" s="136" t="s">
        <v>811</v>
      </c>
      <c r="E737" s="138" t="s">
        <v>1571</v>
      </c>
      <c r="F737" s="420">
        <v>43100</v>
      </c>
      <c r="G737" s="141">
        <v>519.39412000000004</v>
      </c>
      <c r="H737" s="142" t="s">
        <v>189</v>
      </c>
      <c r="I737" s="142" t="s">
        <v>189</v>
      </c>
      <c r="J737" s="141">
        <v>2.4868200000000003</v>
      </c>
      <c r="K737" s="141">
        <v>143.44451000000001</v>
      </c>
      <c r="L737" s="141">
        <v>161.75325000000001</v>
      </c>
      <c r="M737" s="142" t="s">
        <v>189</v>
      </c>
      <c r="N737" s="142" t="s">
        <v>189</v>
      </c>
      <c r="P737" s="610">
        <v>143.44451000000001</v>
      </c>
      <c r="Q737" s="141">
        <f t="shared" si="22"/>
        <v>0</v>
      </c>
    </row>
    <row r="738" spans="1:17" ht="31.5">
      <c r="A738" s="136" t="s">
        <v>3015</v>
      </c>
      <c r="B738" s="137" t="s">
        <v>3018</v>
      </c>
      <c r="C738" s="138" t="s">
        <v>678</v>
      </c>
      <c r="D738" s="138" t="s">
        <v>673</v>
      </c>
      <c r="E738" s="136" t="s">
        <v>1571</v>
      </c>
      <c r="F738" s="419">
        <v>43100</v>
      </c>
      <c r="G738" s="140">
        <v>518.43676000000005</v>
      </c>
      <c r="H738" s="140">
        <v>1</v>
      </c>
      <c r="I738" s="140">
        <v>10.43754</v>
      </c>
      <c r="J738" s="140">
        <v>43.924640000000004</v>
      </c>
      <c r="K738" s="140">
        <v>59.377780000000001</v>
      </c>
      <c r="L738" s="140">
        <v>119.45912000000001</v>
      </c>
      <c r="M738" s="143" t="s">
        <v>189</v>
      </c>
      <c r="N738" s="143" t="s">
        <v>189</v>
      </c>
      <c r="P738" s="608">
        <v>59.377780000000001</v>
      </c>
      <c r="Q738" s="141">
        <f t="shared" ref="Q738:Q801" si="24">O738*P738</f>
        <v>0</v>
      </c>
    </row>
    <row r="739" spans="1:17">
      <c r="A739" s="138" t="s">
        <v>3017</v>
      </c>
      <c r="B739" s="135" t="s">
        <v>3020</v>
      </c>
      <c r="C739" s="136" t="s">
        <v>1428</v>
      </c>
      <c r="D739" s="136" t="s">
        <v>1429</v>
      </c>
      <c r="E739" s="138" t="s">
        <v>1571</v>
      </c>
      <c r="F739" s="420">
        <v>43100</v>
      </c>
      <c r="G739" s="141">
        <v>518.03263000000004</v>
      </c>
      <c r="H739" s="141">
        <v>1</v>
      </c>
      <c r="I739" s="141">
        <v>6.0507299999999997</v>
      </c>
      <c r="J739" s="141">
        <v>19.160649999999997</v>
      </c>
      <c r="K739" s="141">
        <v>30.409080000000003</v>
      </c>
      <c r="L739" s="141">
        <v>56.962940000000003</v>
      </c>
      <c r="M739" s="141">
        <v>2</v>
      </c>
      <c r="N739" s="141">
        <v>5.1199999999999992</v>
      </c>
      <c r="O739" s="211">
        <f t="shared" si="23"/>
        <v>0.2808988764044944</v>
      </c>
      <c r="P739" s="610">
        <v>30.409080000000003</v>
      </c>
      <c r="Q739" s="141">
        <f t="shared" si="24"/>
        <v>8.5418764044943831</v>
      </c>
    </row>
    <row r="740" spans="1:17">
      <c r="A740" s="136" t="s">
        <v>3019</v>
      </c>
      <c r="B740" s="137" t="s">
        <v>3022</v>
      </c>
      <c r="C740" s="138" t="s">
        <v>876</v>
      </c>
      <c r="D740" s="138" t="s">
        <v>811</v>
      </c>
      <c r="E740" s="136" t="s">
        <v>1571</v>
      </c>
      <c r="F740" s="419">
        <v>43100</v>
      </c>
      <c r="G740" s="140">
        <v>512.82271000000003</v>
      </c>
      <c r="H740" s="140">
        <v>6</v>
      </c>
      <c r="I740" s="140">
        <v>6.5341500000000003</v>
      </c>
      <c r="J740" s="140">
        <v>55.29224</v>
      </c>
      <c r="K740" s="140">
        <v>203.32070000000002</v>
      </c>
      <c r="L740" s="140">
        <v>318.57456000000002</v>
      </c>
      <c r="M740" s="143" t="s">
        <v>189</v>
      </c>
      <c r="N740" s="143" t="s">
        <v>189</v>
      </c>
      <c r="P740" s="608">
        <v>203.32070000000002</v>
      </c>
      <c r="Q740" s="141">
        <f t="shared" si="24"/>
        <v>0</v>
      </c>
    </row>
    <row r="741" spans="1:17">
      <c r="A741" s="138" t="s">
        <v>3021</v>
      </c>
      <c r="B741" s="135" t="s">
        <v>3024</v>
      </c>
      <c r="C741" s="136" t="s">
        <v>756</v>
      </c>
      <c r="D741" s="136" t="s">
        <v>789</v>
      </c>
      <c r="E741" s="138" t="s">
        <v>1571</v>
      </c>
      <c r="F741" s="420">
        <v>43100</v>
      </c>
      <c r="G741" s="141">
        <v>512.44867999999997</v>
      </c>
      <c r="H741" s="141">
        <v>3</v>
      </c>
      <c r="I741" s="141"/>
      <c r="J741" s="141">
        <v>-55.593249999999998</v>
      </c>
      <c r="K741" s="141">
        <v>97.130820000000014</v>
      </c>
      <c r="L741" s="141">
        <v>24.443860000000001</v>
      </c>
      <c r="M741" s="142" t="s">
        <v>189</v>
      </c>
      <c r="N741" s="142" t="s">
        <v>189</v>
      </c>
      <c r="P741" s="610">
        <v>97.130820000000014</v>
      </c>
      <c r="Q741" s="141">
        <f t="shared" si="24"/>
        <v>0</v>
      </c>
    </row>
    <row r="742" spans="1:17" ht="31.5">
      <c r="A742" s="136" t="s">
        <v>3023</v>
      </c>
      <c r="B742" s="137" t="s">
        <v>3026</v>
      </c>
      <c r="C742" s="138" t="s">
        <v>1036</v>
      </c>
      <c r="D742" s="138" t="s">
        <v>971</v>
      </c>
      <c r="E742" s="136" t="s">
        <v>1571</v>
      </c>
      <c r="F742" s="419">
        <v>43100</v>
      </c>
      <c r="G742" s="140">
        <v>511.61369999999999</v>
      </c>
      <c r="H742" s="140">
        <v>5</v>
      </c>
      <c r="I742" s="140">
        <v>14.799949999999999</v>
      </c>
      <c r="J742" s="140">
        <v>70.594589999999997</v>
      </c>
      <c r="K742" s="140">
        <v>180.58294999999998</v>
      </c>
      <c r="L742" s="140">
        <v>308.03429999999997</v>
      </c>
      <c r="M742" s="140">
        <v>1</v>
      </c>
      <c r="N742" s="140">
        <v>4</v>
      </c>
      <c r="O742" s="211">
        <f t="shared" si="23"/>
        <v>0.2</v>
      </c>
      <c r="P742" s="608">
        <v>180.58294999999998</v>
      </c>
      <c r="Q742" s="141">
        <f t="shared" si="24"/>
        <v>36.116589999999995</v>
      </c>
    </row>
    <row r="743" spans="1:17" ht="42">
      <c r="A743" s="138" t="s">
        <v>3025</v>
      </c>
      <c r="B743" s="135" t="s">
        <v>3028</v>
      </c>
      <c r="C743" s="136" t="s">
        <v>1327</v>
      </c>
      <c r="D743" s="136" t="s">
        <v>1320</v>
      </c>
      <c r="E743" s="138" t="s">
        <v>1571</v>
      </c>
      <c r="F743" s="420">
        <v>43100</v>
      </c>
      <c r="G743" s="141">
        <v>511.22563999999994</v>
      </c>
      <c r="H743" s="141">
        <v>4</v>
      </c>
      <c r="I743" s="141">
        <v>0.39865000000000006</v>
      </c>
      <c r="J743" s="141">
        <v>37.054830000000003</v>
      </c>
      <c r="K743" s="141">
        <v>132.05064999999999</v>
      </c>
      <c r="L743" s="141">
        <v>173.98775000000001</v>
      </c>
      <c r="M743" s="142" t="s">
        <v>189</v>
      </c>
      <c r="N743" s="142" t="s">
        <v>189</v>
      </c>
      <c r="P743" s="610">
        <v>132.05064999999999</v>
      </c>
      <c r="Q743" s="141">
        <f t="shared" si="24"/>
        <v>0</v>
      </c>
    </row>
    <row r="744" spans="1:17" ht="52.5">
      <c r="A744" s="136" t="s">
        <v>3027</v>
      </c>
      <c r="B744" s="137" t="s">
        <v>3030</v>
      </c>
      <c r="C744" s="138" t="s">
        <v>1299</v>
      </c>
      <c r="D744" s="138" t="s">
        <v>1266</v>
      </c>
      <c r="E744" s="136" t="s">
        <v>1571</v>
      </c>
      <c r="F744" s="419">
        <v>43100</v>
      </c>
      <c r="G744" s="140">
        <v>508.33857</v>
      </c>
      <c r="H744" s="140">
        <v>7</v>
      </c>
      <c r="I744" s="143" t="s">
        <v>189</v>
      </c>
      <c r="J744" s="140">
        <v>37.03342</v>
      </c>
      <c r="K744" s="140">
        <v>141.45167000000001</v>
      </c>
      <c r="L744" s="140">
        <v>180.86285999999998</v>
      </c>
      <c r="M744" s="140">
        <v>2</v>
      </c>
      <c r="N744" s="140">
        <v>6</v>
      </c>
      <c r="O744" s="211">
        <f t="shared" si="23"/>
        <v>0.25</v>
      </c>
      <c r="P744" s="608">
        <v>141.45167000000001</v>
      </c>
      <c r="Q744" s="141">
        <f t="shared" si="24"/>
        <v>35.362917500000002</v>
      </c>
    </row>
    <row r="745" spans="1:17" ht="31.5">
      <c r="A745" s="138" t="s">
        <v>3029</v>
      </c>
      <c r="B745" s="135" t="s">
        <v>3032</v>
      </c>
      <c r="C745" s="136" t="s">
        <v>983</v>
      </c>
      <c r="D745" s="136" t="s">
        <v>975</v>
      </c>
      <c r="E745" s="138" t="s">
        <v>1571</v>
      </c>
      <c r="F745" s="420">
        <v>43100</v>
      </c>
      <c r="G745" s="141">
        <v>504.47379999999998</v>
      </c>
      <c r="H745" s="141">
        <v>3</v>
      </c>
      <c r="I745" s="141">
        <v>12.100940000000001</v>
      </c>
      <c r="J745" s="141">
        <v>85.275809999999993</v>
      </c>
      <c r="K745" s="141">
        <v>91.637380000000007</v>
      </c>
      <c r="L745" s="141">
        <v>198.81753</v>
      </c>
      <c r="M745" s="142" t="s">
        <v>189</v>
      </c>
      <c r="N745" s="141">
        <v>1</v>
      </c>
      <c r="P745" s="610">
        <v>91.637380000000007</v>
      </c>
      <c r="Q745" s="141">
        <f t="shared" si="24"/>
        <v>0</v>
      </c>
    </row>
    <row r="746" spans="1:17" ht="52.5">
      <c r="A746" s="136" t="s">
        <v>3031</v>
      </c>
      <c r="B746" s="137" t="s">
        <v>3034</v>
      </c>
      <c r="C746" s="138" t="s">
        <v>979</v>
      </c>
      <c r="D746" s="138" t="s">
        <v>975</v>
      </c>
      <c r="E746" s="136" t="s">
        <v>1571</v>
      </c>
      <c r="F746" s="419">
        <v>42735</v>
      </c>
      <c r="G746" s="140">
        <v>498.42214999999999</v>
      </c>
      <c r="H746" s="140">
        <v>6</v>
      </c>
      <c r="I746" s="140">
        <v>1.3785700000000001</v>
      </c>
      <c r="J746" s="140">
        <v>4.3654600000000006</v>
      </c>
      <c r="K746" s="140">
        <v>287.46386999999999</v>
      </c>
      <c r="L746" s="140">
        <v>307.02021000000002</v>
      </c>
      <c r="M746" s="140">
        <v>4</v>
      </c>
      <c r="N746" s="140">
        <v>4</v>
      </c>
      <c r="O746" s="211">
        <f t="shared" si="23"/>
        <v>0.5</v>
      </c>
      <c r="P746" s="608">
        <v>287.46386999999999</v>
      </c>
      <c r="Q746" s="141">
        <f t="shared" si="24"/>
        <v>143.73193499999999</v>
      </c>
    </row>
    <row r="747" spans="1:17">
      <c r="A747" s="138" t="s">
        <v>3033</v>
      </c>
      <c r="B747" s="135" t="s">
        <v>3036</v>
      </c>
      <c r="C747" s="136" t="s">
        <v>1120</v>
      </c>
      <c r="D747" s="136" t="s">
        <v>1112</v>
      </c>
      <c r="E747" s="138" t="s">
        <v>1571</v>
      </c>
      <c r="F747" s="420">
        <v>43100</v>
      </c>
      <c r="G747" s="141">
        <v>495.83356000000003</v>
      </c>
      <c r="H747" s="141">
        <v>7</v>
      </c>
      <c r="I747" s="141"/>
      <c r="J747" s="141">
        <v>-133.12120899999999</v>
      </c>
      <c r="K747" s="141">
        <v>218.60732999999999</v>
      </c>
      <c r="L747" s="141">
        <v>104.57038</v>
      </c>
      <c r="M747" s="142" t="s">
        <v>189</v>
      </c>
      <c r="N747" s="142" t="s">
        <v>189</v>
      </c>
      <c r="P747" s="610">
        <v>218.60732999999999</v>
      </c>
      <c r="Q747" s="141">
        <f t="shared" si="24"/>
        <v>0</v>
      </c>
    </row>
    <row r="748" spans="1:17">
      <c r="A748" s="136" t="s">
        <v>3035</v>
      </c>
      <c r="B748" s="137" t="s">
        <v>3038</v>
      </c>
      <c r="C748" s="138" t="s">
        <v>1020</v>
      </c>
      <c r="D748" s="138" t="s">
        <v>1013</v>
      </c>
      <c r="E748" s="136" t="s">
        <v>1571</v>
      </c>
      <c r="F748" s="419">
        <v>42369</v>
      </c>
      <c r="G748" s="140">
        <v>491.56481000000002</v>
      </c>
      <c r="H748" s="140">
        <v>4</v>
      </c>
      <c r="I748" s="140">
        <v>1.0439500000000002</v>
      </c>
      <c r="J748" s="140">
        <v>3.3058400000000003</v>
      </c>
      <c r="K748" s="140">
        <v>87.012</v>
      </c>
      <c r="L748" s="140">
        <v>97.849059999999994</v>
      </c>
      <c r="M748" s="143" t="s">
        <v>189</v>
      </c>
      <c r="N748" s="143" t="s">
        <v>189</v>
      </c>
      <c r="P748" s="608">
        <v>87.012</v>
      </c>
      <c r="Q748" s="141">
        <f t="shared" si="24"/>
        <v>0</v>
      </c>
    </row>
    <row r="749" spans="1:17" ht="42">
      <c r="A749" s="138" t="s">
        <v>3037</v>
      </c>
      <c r="B749" s="135" t="s">
        <v>3040</v>
      </c>
      <c r="C749" s="136" t="s">
        <v>1471</v>
      </c>
      <c r="D749" s="136" t="s">
        <v>1366</v>
      </c>
      <c r="E749" s="138" t="s">
        <v>1571</v>
      </c>
      <c r="F749" s="420">
        <v>43100</v>
      </c>
      <c r="G749" s="141">
        <v>484.61986999999999</v>
      </c>
      <c r="H749" s="141">
        <v>4</v>
      </c>
      <c r="I749" s="142" t="s">
        <v>189</v>
      </c>
      <c r="J749" s="141">
        <v>-20.424890000000001</v>
      </c>
      <c r="K749" s="141">
        <v>114.07590999999999</v>
      </c>
      <c r="L749" s="141">
        <v>93.651020000000003</v>
      </c>
      <c r="M749" s="142" t="s">
        <v>189</v>
      </c>
      <c r="N749" s="142" t="s">
        <v>189</v>
      </c>
      <c r="P749" s="610">
        <v>114.07590999999999</v>
      </c>
      <c r="Q749" s="141">
        <f t="shared" si="24"/>
        <v>0</v>
      </c>
    </row>
    <row r="750" spans="1:17" ht="31.5">
      <c r="A750" s="136" t="s">
        <v>3039</v>
      </c>
      <c r="B750" s="137" t="s">
        <v>3042</v>
      </c>
      <c r="C750" s="138" t="s">
        <v>1192</v>
      </c>
      <c r="D750" s="138" t="s">
        <v>1190</v>
      </c>
      <c r="E750" s="136" t="s">
        <v>1571</v>
      </c>
      <c r="F750" s="419">
        <v>43100</v>
      </c>
      <c r="G750" s="140">
        <v>479.47778000000005</v>
      </c>
      <c r="H750" s="140">
        <v>5</v>
      </c>
      <c r="I750" s="143" t="s">
        <v>189</v>
      </c>
      <c r="J750" s="140">
        <v>2.3932799999999999</v>
      </c>
      <c r="K750" s="140">
        <v>170.20495</v>
      </c>
      <c r="L750" s="140">
        <v>178.64382999999998</v>
      </c>
      <c r="M750" s="143" t="s">
        <v>189</v>
      </c>
      <c r="N750" s="143" t="s">
        <v>189</v>
      </c>
      <c r="P750" s="608">
        <v>170.20495</v>
      </c>
      <c r="Q750" s="141">
        <f t="shared" si="24"/>
        <v>0</v>
      </c>
    </row>
    <row r="751" spans="1:17" ht="42">
      <c r="A751" s="138" t="s">
        <v>3041</v>
      </c>
      <c r="B751" s="135" t="s">
        <v>3044</v>
      </c>
      <c r="C751" s="136" t="s">
        <v>1335</v>
      </c>
      <c r="D751" s="136" t="s">
        <v>1320</v>
      </c>
      <c r="E751" s="138" t="s">
        <v>1571</v>
      </c>
      <c r="F751" s="420">
        <v>43100</v>
      </c>
      <c r="G751" s="141">
        <v>475.03591000000006</v>
      </c>
      <c r="H751" s="141">
        <v>3</v>
      </c>
      <c r="I751" s="141">
        <v>28.109080000000002</v>
      </c>
      <c r="J751" s="141">
        <v>112.80280999999999</v>
      </c>
      <c r="K751" s="141">
        <v>99.468090000000004</v>
      </c>
      <c r="L751" s="141">
        <v>273.24363</v>
      </c>
      <c r="M751" s="142" t="s">
        <v>189</v>
      </c>
      <c r="N751" s="142" t="s">
        <v>189</v>
      </c>
      <c r="P751" s="610">
        <v>99.468090000000004</v>
      </c>
      <c r="Q751" s="141">
        <f t="shared" si="24"/>
        <v>0</v>
      </c>
    </row>
    <row r="752" spans="1:17" ht="21">
      <c r="A752" s="136" t="s">
        <v>3043</v>
      </c>
      <c r="B752" s="137" t="s">
        <v>3046</v>
      </c>
      <c r="C752" s="138" t="s">
        <v>1303</v>
      </c>
      <c r="D752" s="138" t="s">
        <v>1266</v>
      </c>
      <c r="E752" s="136" t="s">
        <v>1571</v>
      </c>
      <c r="F752" s="419">
        <v>43008</v>
      </c>
      <c r="G752" s="140">
        <v>474.45499999999998</v>
      </c>
      <c r="H752" s="140">
        <v>8</v>
      </c>
      <c r="I752" s="140">
        <v>0.13800000000000001</v>
      </c>
      <c r="J752" s="140">
        <v>-64.933999999999997</v>
      </c>
      <c r="K752" s="140">
        <v>226.05799999999999</v>
      </c>
      <c r="L752" s="140">
        <v>166.16499999999999</v>
      </c>
      <c r="M752" s="143" t="s">
        <v>189</v>
      </c>
      <c r="N752" s="143" t="s">
        <v>189</v>
      </c>
      <c r="P752" s="608">
        <v>226.05799999999999</v>
      </c>
      <c r="Q752" s="141">
        <f t="shared" si="24"/>
        <v>0</v>
      </c>
    </row>
    <row r="753" spans="1:17" ht="31.5">
      <c r="A753" s="138" t="s">
        <v>3045</v>
      </c>
      <c r="B753" s="135" t="s">
        <v>3048</v>
      </c>
      <c r="C753" s="136" t="s">
        <v>1332</v>
      </c>
      <c r="D753" s="136" t="s">
        <v>1320</v>
      </c>
      <c r="E753" s="138" t="s">
        <v>1571</v>
      </c>
      <c r="F753" s="420">
        <v>43100</v>
      </c>
      <c r="G753" s="141">
        <v>472.03856000000002</v>
      </c>
      <c r="H753" s="141">
        <v>1</v>
      </c>
      <c r="I753" s="142" t="s">
        <v>189</v>
      </c>
      <c r="J753" s="141">
        <v>1.7799200000000002</v>
      </c>
      <c r="K753" s="141">
        <v>48.729719999999993</v>
      </c>
      <c r="L753" s="141">
        <v>60.056438999999997</v>
      </c>
      <c r="M753" s="142" t="s">
        <v>189</v>
      </c>
      <c r="N753" s="142" t="s">
        <v>189</v>
      </c>
      <c r="P753" s="610">
        <v>48.729719999999993</v>
      </c>
      <c r="Q753" s="141">
        <f t="shared" si="24"/>
        <v>0</v>
      </c>
    </row>
    <row r="754" spans="1:17" ht="52.5">
      <c r="A754" s="136" t="s">
        <v>3047</v>
      </c>
      <c r="B754" s="137" t="s">
        <v>3050</v>
      </c>
      <c r="C754" s="138" t="s">
        <v>1517</v>
      </c>
      <c r="D754" s="138" t="s">
        <v>1501</v>
      </c>
      <c r="E754" s="136" t="s">
        <v>1571</v>
      </c>
      <c r="F754" s="419">
        <v>42004</v>
      </c>
      <c r="G754" s="140">
        <v>471.66370000000001</v>
      </c>
      <c r="H754" s="140">
        <v>8</v>
      </c>
      <c r="I754" s="140"/>
      <c r="J754" s="140">
        <v>-59.758400000000002</v>
      </c>
      <c r="K754" s="140">
        <v>192.23615000000001</v>
      </c>
      <c r="L754" s="140">
        <v>142.9024</v>
      </c>
      <c r="M754" s="143" t="s">
        <v>189</v>
      </c>
      <c r="N754" s="143" t="s">
        <v>189</v>
      </c>
      <c r="P754" s="608">
        <v>192.23615000000001</v>
      </c>
      <c r="Q754" s="141">
        <f t="shared" si="24"/>
        <v>0</v>
      </c>
    </row>
    <row r="755" spans="1:17">
      <c r="A755" s="138" t="s">
        <v>3049</v>
      </c>
      <c r="B755" s="421" t="s">
        <v>3052</v>
      </c>
      <c r="C755" s="136" t="s">
        <v>1123</v>
      </c>
      <c r="D755" s="136" t="s">
        <v>1112</v>
      </c>
      <c r="E755" s="138" t="s">
        <v>1571</v>
      </c>
      <c r="F755" s="420">
        <v>43100</v>
      </c>
      <c r="G755" s="141">
        <v>471.30428000000006</v>
      </c>
      <c r="H755" s="141">
        <v>2</v>
      </c>
      <c r="I755" s="141">
        <v>3.56229</v>
      </c>
      <c r="J755" s="141">
        <v>14.99132</v>
      </c>
      <c r="K755" s="141">
        <v>62.187300000000008</v>
      </c>
      <c r="L755" s="141">
        <v>82.593289999999996</v>
      </c>
      <c r="M755" s="141">
        <v>3</v>
      </c>
      <c r="N755" s="141">
        <v>6</v>
      </c>
      <c r="O755" s="211">
        <f t="shared" si="23"/>
        <v>0.33333333333333331</v>
      </c>
      <c r="P755" s="610">
        <v>62.187300000000008</v>
      </c>
      <c r="Q755" s="141">
        <f t="shared" si="24"/>
        <v>20.729100000000003</v>
      </c>
    </row>
    <row r="756" spans="1:17" ht="21">
      <c r="A756" s="136" t="s">
        <v>3051</v>
      </c>
      <c r="B756" s="137" t="s">
        <v>3054</v>
      </c>
      <c r="C756" s="138" t="s">
        <v>833</v>
      </c>
      <c r="D756" s="138" t="s">
        <v>811</v>
      </c>
      <c r="E756" s="136" t="s">
        <v>1571</v>
      </c>
      <c r="F756" s="419">
        <v>42004</v>
      </c>
      <c r="G756" s="140">
        <v>468.99102000000005</v>
      </c>
      <c r="H756" s="140">
        <v>6</v>
      </c>
      <c r="I756" s="143" t="s">
        <v>189</v>
      </c>
      <c r="J756" s="140">
        <v>-57.307950000000005</v>
      </c>
      <c r="K756" s="140">
        <v>244.16882999999999</v>
      </c>
      <c r="L756" s="140">
        <v>204.77625</v>
      </c>
      <c r="M756" s="143" t="s">
        <v>189</v>
      </c>
      <c r="N756" s="143" t="s">
        <v>189</v>
      </c>
      <c r="P756" s="608">
        <v>244.16882999999999</v>
      </c>
      <c r="Q756" s="141">
        <f t="shared" si="24"/>
        <v>0</v>
      </c>
    </row>
    <row r="757" spans="1:17" ht="42">
      <c r="A757" s="138" t="s">
        <v>3053</v>
      </c>
      <c r="B757" s="135" t="s">
        <v>3056</v>
      </c>
      <c r="C757" s="136" t="s">
        <v>1330</v>
      </c>
      <c r="D757" s="136" t="s">
        <v>1320</v>
      </c>
      <c r="E757" s="138" t="s">
        <v>1571</v>
      </c>
      <c r="F757" s="420">
        <v>43100</v>
      </c>
      <c r="G757" s="141">
        <v>468.35631000000001</v>
      </c>
      <c r="H757" s="141">
        <v>7</v>
      </c>
      <c r="I757" s="141">
        <v>5.7533300000000001</v>
      </c>
      <c r="J757" s="141">
        <v>18.218880000000002</v>
      </c>
      <c r="K757" s="141">
        <v>205.41113000000001</v>
      </c>
      <c r="L757" s="141">
        <v>236.47546</v>
      </c>
      <c r="M757" s="142" t="s">
        <v>189</v>
      </c>
      <c r="N757" s="142" t="s">
        <v>189</v>
      </c>
      <c r="P757" s="610">
        <v>205.41113000000001</v>
      </c>
      <c r="Q757" s="141">
        <f t="shared" si="24"/>
        <v>0</v>
      </c>
    </row>
    <row r="758" spans="1:17" ht="31.5">
      <c r="A758" s="136" t="s">
        <v>3055</v>
      </c>
      <c r="B758" s="137" t="s">
        <v>3058</v>
      </c>
      <c r="C758" s="138" t="s">
        <v>749</v>
      </c>
      <c r="D758" s="138" t="s">
        <v>3059</v>
      </c>
      <c r="E758" s="136" t="s">
        <v>1571</v>
      </c>
      <c r="F758" s="419">
        <v>43100</v>
      </c>
      <c r="G758" s="140">
        <v>461.45993000000004</v>
      </c>
      <c r="H758" s="140">
        <v>2</v>
      </c>
      <c r="I758" s="143" t="s">
        <v>189</v>
      </c>
      <c r="J758" s="140">
        <v>15.51726</v>
      </c>
      <c r="K758" s="140">
        <v>43.058699999999995</v>
      </c>
      <c r="L758" s="140">
        <v>58.581228999999993</v>
      </c>
      <c r="M758" s="140">
        <v>1</v>
      </c>
      <c r="N758" s="140">
        <v>2</v>
      </c>
      <c r="O758" s="211">
        <f t="shared" si="23"/>
        <v>0.33333333333333331</v>
      </c>
      <c r="P758" s="608">
        <v>43.058699999999995</v>
      </c>
      <c r="Q758" s="141">
        <f t="shared" si="24"/>
        <v>14.352899999999998</v>
      </c>
    </row>
    <row r="759" spans="1:17" ht="31.5">
      <c r="A759" s="138" t="s">
        <v>3057</v>
      </c>
      <c r="B759" s="135" t="s">
        <v>3061</v>
      </c>
      <c r="C759" s="136" t="s">
        <v>1049</v>
      </c>
      <c r="D759" s="136" t="s">
        <v>971</v>
      </c>
      <c r="E759" s="138" t="s">
        <v>1571</v>
      </c>
      <c r="F759" s="420">
        <v>43100</v>
      </c>
      <c r="G759" s="141">
        <v>460.97266999999999</v>
      </c>
      <c r="H759" s="141">
        <v>8</v>
      </c>
      <c r="I759" s="142" t="s">
        <v>189</v>
      </c>
      <c r="J759" s="141">
        <v>15.195680000000001</v>
      </c>
      <c r="K759" s="141">
        <v>308.89603000000005</v>
      </c>
      <c r="L759" s="141">
        <v>361.24563999999998</v>
      </c>
      <c r="M759" s="141">
        <v>10</v>
      </c>
      <c r="N759" s="141">
        <v>8</v>
      </c>
      <c r="O759" s="211">
        <f t="shared" si="23"/>
        <v>0.55555555555555558</v>
      </c>
      <c r="P759" s="610">
        <v>308.89603000000005</v>
      </c>
      <c r="Q759" s="141">
        <f t="shared" si="24"/>
        <v>171.60890555555559</v>
      </c>
    </row>
    <row r="760" spans="1:17" ht="21">
      <c r="A760" s="136" t="s">
        <v>3060</v>
      </c>
      <c r="B760" s="137" t="s">
        <v>3063</v>
      </c>
      <c r="C760" s="138" t="s">
        <v>1302</v>
      </c>
      <c r="D760" s="138" t="s">
        <v>1266</v>
      </c>
      <c r="E760" s="136" t="s">
        <v>1571</v>
      </c>
      <c r="F760" s="419">
        <v>43100</v>
      </c>
      <c r="G760" s="140">
        <v>457.83489000000003</v>
      </c>
      <c r="H760" s="140">
        <v>2</v>
      </c>
      <c r="I760" s="140">
        <v>0.37680000000000002</v>
      </c>
      <c r="J760" s="140">
        <v>3.1913400000000003</v>
      </c>
      <c r="K760" s="140">
        <v>205.7543</v>
      </c>
      <c r="L760" s="140">
        <v>216.48606899999999</v>
      </c>
      <c r="M760" s="140">
        <v>1</v>
      </c>
      <c r="N760" s="140">
        <v>3</v>
      </c>
      <c r="O760" s="211">
        <f t="shared" si="23"/>
        <v>0.25</v>
      </c>
      <c r="P760" s="608">
        <v>205.7543</v>
      </c>
      <c r="Q760" s="141">
        <f t="shared" si="24"/>
        <v>51.438575</v>
      </c>
    </row>
    <row r="761" spans="1:17" ht="42">
      <c r="A761" s="138" t="s">
        <v>3062</v>
      </c>
      <c r="B761" s="135" t="s">
        <v>3065</v>
      </c>
      <c r="C761" s="136" t="s">
        <v>1344</v>
      </c>
      <c r="D761" s="136" t="s">
        <v>1279</v>
      </c>
      <c r="E761" s="138" t="s">
        <v>1571</v>
      </c>
      <c r="F761" s="420">
        <v>43100</v>
      </c>
      <c r="G761" s="141">
        <v>453.74040000000002</v>
      </c>
      <c r="H761" s="141">
        <v>3</v>
      </c>
      <c r="I761" s="142" t="s">
        <v>189</v>
      </c>
      <c r="J761" s="141">
        <v>-2.5346300000000004</v>
      </c>
      <c r="K761" s="141">
        <v>149.81311000000002</v>
      </c>
      <c r="L761" s="141">
        <v>152.81108899999998</v>
      </c>
      <c r="M761" s="142" t="s">
        <v>189</v>
      </c>
      <c r="N761" s="142" t="s">
        <v>189</v>
      </c>
      <c r="P761" s="610">
        <v>149.81311000000002</v>
      </c>
      <c r="Q761" s="141">
        <f t="shared" si="24"/>
        <v>0</v>
      </c>
    </row>
    <row r="762" spans="1:17" ht="31.5">
      <c r="A762" s="136" t="s">
        <v>3064</v>
      </c>
      <c r="B762" s="137" t="s">
        <v>3067</v>
      </c>
      <c r="C762" s="138" t="s">
        <v>1128</v>
      </c>
      <c r="D762" s="138" t="s">
        <v>1112</v>
      </c>
      <c r="E762" s="136" t="s">
        <v>1571</v>
      </c>
      <c r="F762" s="419">
        <v>43100</v>
      </c>
      <c r="G762" s="140">
        <v>452.25284999999997</v>
      </c>
      <c r="H762" s="140">
        <v>2</v>
      </c>
      <c r="I762" s="140">
        <v>9.2735000000000003</v>
      </c>
      <c r="J762" s="140">
        <v>78.179029999999997</v>
      </c>
      <c r="K762" s="140">
        <v>113.35593</v>
      </c>
      <c r="L762" s="140">
        <v>222.76703899999998</v>
      </c>
      <c r="M762" s="143" t="s">
        <v>189</v>
      </c>
      <c r="N762" s="143" t="s">
        <v>189</v>
      </c>
      <c r="P762" s="608">
        <v>113.35593</v>
      </c>
      <c r="Q762" s="141">
        <f t="shared" si="24"/>
        <v>0</v>
      </c>
    </row>
    <row r="763" spans="1:17" ht="31.5">
      <c r="A763" s="138" t="s">
        <v>3066</v>
      </c>
      <c r="B763" s="135" t="s">
        <v>3069</v>
      </c>
      <c r="C763" s="136" t="s">
        <v>1566</v>
      </c>
      <c r="D763" s="136" t="s">
        <v>1456</v>
      </c>
      <c r="E763" s="138" t="s">
        <v>1571</v>
      </c>
      <c r="F763" s="420">
        <v>43100</v>
      </c>
      <c r="G763" s="141">
        <v>450.28636</v>
      </c>
      <c r="H763" s="141">
        <v>9</v>
      </c>
      <c r="I763" s="142" t="s">
        <v>189</v>
      </c>
      <c r="J763" s="141">
        <v>-132.856709</v>
      </c>
      <c r="K763" s="141">
        <v>215.65541999999999</v>
      </c>
      <c r="L763" s="141">
        <v>178.86753099999999</v>
      </c>
      <c r="M763" s="142" t="s">
        <v>189</v>
      </c>
      <c r="N763" s="142" t="s">
        <v>189</v>
      </c>
      <c r="P763" s="610">
        <v>215.65541999999999</v>
      </c>
      <c r="Q763" s="141">
        <f t="shared" si="24"/>
        <v>0</v>
      </c>
    </row>
    <row r="764" spans="1:17" ht="21">
      <c r="A764" s="136" t="s">
        <v>3068</v>
      </c>
      <c r="B764" s="139" t="s">
        <v>3071</v>
      </c>
      <c r="C764" s="138" t="s">
        <v>1118</v>
      </c>
      <c r="D764" s="138" t="s">
        <v>1112</v>
      </c>
      <c r="E764" s="136" t="s">
        <v>1571</v>
      </c>
      <c r="F764" s="419">
        <v>43100</v>
      </c>
      <c r="G764" s="140">
        <v>449.99069000000003</v>
      </c>
      <c r="H764" s="140">
        <v>2</v>
      </c>
      <c r="I764" s="143" t="s">
        <v>189</v>
      </c>
      <c r="J764" s="140">
        <v>-6.0597799999999999</v>
      </c>
      <c r="K764" s="140">
        <v>80.291399999999996</v>
      </c>
      <c r="L764" s="140">
        <v>88.543509999999998</v>
      </c>
      <c r="M764" s="143" t="s">
        <v>189</v>
      </c>
      <c r="N764" s="140">
        <v>5</v>
      </c>
      <c r="P764" s="608">
        <v>80.291399999999996</v>
      </c>
      <c r="Q764" s="141">
        <f t="shared" si="24"/>
        <v>0</v>
      </c>
    </row>
    <row r="765" spans="1:17" ht="31.5">
      <c r="A765" s="138" t="s">
        <v>3070</v>
      </c>
      <c r="B765" s="135" t="s">
        <v>3073</v>
      </c>
      <c r="C765" s="136" t="s">
        <v>1414</v>
      </c>
      <c r="D765" s="136" t="s">
        <v>1415</v>
      </c>
      <c r="E765" s="138" t="s">
        <v>1571</v>
      </c>
      <c r="F765" s="420">
        <v>42369</v>
      </c>
      <c r="G765" s="141">
        <v>448.84477000000004</v>
      </c>
      <c r="H765" s="141">
        <v>4</v>
      </c>
      <c r="I765" s="141">
        <v>1.8409999999999999E-2</v>
      </c>
      <c r="J765" s="141">
        <v>5.8290000000000008E-2</v>
      </c>
      <c r="K765" s="141">
        <v>135.36787000000001</v>
      </c>
      <c r="L765" s="141">
        <v>153.71117000000001</v>
      </c>
      <c r="M765" s="141">
        <v>1</v>
      </c>
      <c r="N765" s="141">
        <v>4</v>
      </c>
      <c r="O765" s="211">
        <f t="shared" si="23"/>
        <v>0.2</v>
      </c>
      <c r="P765" s="610">
        <v>135.36787000000001</v>
      </c>
      <c r="Q765" s="141">
        <f t="shared" si="24"/>
        <v>27.073574000000004</v>
      </c>
    </row>
    <row r="766" spans="1:17" ht="21">
      <c r="A766" s="136" t="s">
        <v>3072</v>
      </c>
      <c r="B766" s="139" t="s">
        <v>3075</v>
      </c>
      <c r="C766" s="138" t="s">
        <v>1457</v>
      </c>
      <c r="D766" s="138" t="s">
        <v>1456</v>
      </c>
      <c r="E766" s="136" t="s">
        <v>1571</v>
      </c>
      <c r="F766" s="419">
        <v>43100</v>
      </c>
      <c r="G766" s="140">
        <v>448.07794000000001</v>
      </c>
      <c r="H766" s="140">
        <v>3</v>
      </c>
      <c r="I766" s="140"/>
      <c r="J766" s="140">
        <v>-13.494670000000001</v>
      </c>
      <c r="K766" s="140">
        <v>109.16164000000001</v>
      </c>
      <c r="L766" s="140">
        <v>97.137839999999997</v>
      </c>
      <c r="M766" s="143" t="s">
        <v>189</v>
      </c>
      <c r="N766" s="143" t="s">
        <v>189</v>
      </c>
      <c r="P766" s="608">
        <v>109.16164000000001</v>
      </c>
      <c r="Q766" s="141">
        <f t="shared" si="24"/>
        <v>0</v>
      </c>
    </row>
    <row r="767" spans="1:17" ht="42">
      <c r="A767" s="138" t="s">
        <v>3074</v>
      </c>
      <c r="B767" s="135" t="s">
        <v>3077</v>
      </c>
      <c r="C767" s="136" t="s">
        <v>1550</v>
      </c>
      <c r="D767" s="136" t="s">
        <v>1279</v>
      </c>
      <c r="E767" s="138" t="s">
        <v>1571</v>
      </c>
      <c r="F767" s="420">
        <v>42369</v>
      </c>
      <c r="G767" s="141">
        <v>447.88000900000003</v>
      </c>
      <c r="H767" s="141">
        <v>18</v>
      </c>
      <c r="I767" s="141">
        <v>0.21058000000000002</v>
      </c>
      <c r="J767" s="141">
        <v>-7.5230699999999997</v>
      </c>
      <c r="K767" s="141">
        <v>183.19891999999999</v>
      </c>
      <c r="L767" s="141">
        <v>180.46111000000002</v>
      </c>
      <c r="M767" s="142" t="s">
        <v>189</v>
      </c>
      <c r="N767" s="141">
        <v>4</v>
      </c>
      <c r="P767" s="610">
        <v>183.19891999999999</v>
      </c>
      <c r="Q767" s="141">
        <f t="shared" si="24"/>
        <v>0</v>
      </c>
    </row>
    <row r="768" spans="1:17" ht="31.5">
      <c r="A768" s="136" t="s">
        <v>3076</v>
      </c>
      <c r="B768" s="137" t="s">
        <v>3079</v>
      </c>
      <c r="C768" s="138" t="s">
        <v>1512</v>
      </c>
      <c r="D768" s="138" t="s">
        <v>1501</v>
      </c>
      <c r="E768" s="136" t="s">
        <v>1571</v>
      </c>
      <c r="F768" s="419">
        <v>42735</v>
      </c>
      <c r="G768" s="140">
        <v>447.84975000000003</v>
      </c>
      <c r="H768" s="140">
        <v>3</v>
      </c>
      <c r="I768" s="143" t="s">
        <v>189</v>
      </c>
      <c r="J768" s="140">
        <v>3.3902799999999997</v>
      </c>
      <c r="K768" s="140">
        <v>158.65568999999999</v>
      </c>
      <c r="L768" s="140">
        <v>174.95491000000001</v>
      </c>
      <c r="M768" s="143" t="s">
        <v>189</v>
      </c>
      <c r="N768" s="143" t="s">
        <v>189</v>
      </c>
      <c r="P768" s="608">
        <v>158.65568999999999</v>
      </c>
      <c r="Q768" s="141">
        <f t="shared" si="24"/>
        <v>0</v>
      </c>
    </row>
    <row r="769" spans="1:17" ht="42">
      <c r="A769" s="138" t="s">
        <v>3078</v>
      </c>
      <c r="B769" s="421" t="s">
        <v>3081</v>
      </c>
      <c r="C769" s="136" t="s">
        <v>1400</v>
      </c>
      <c r="D769" s="136" t="s">
        <v>1399</v>
      </c>
      <c r="E769" s="138" t="s">
        <v>1571</v>
      </c>
      <c r="F769" s="420">
        <v>43100</v>
      </c>
      <c r="G769" s="141">
        <v>442.85883999999999</v>
      </c>
      <c r="H769" s="141">
        <v>2</v>
      </c>
      <c r="I769" s="141">
        <v>0.15636000000000003</v>
      </c>
      <c r="J769" s="141">
        <v>0.65803999999999996</v>
      </c>
      <c r="K769" s="141">
        <v>57.477119999999999</v>
      </c>
      <c r="L769" s="141">
        <v>62.004519999999999</v>
      </c>
      <c r="M769" s="142" t="s">
        <v>189</v>
      </c>
      <c r="N769" s="142" t="s">
        <v>189</v>
      </c>
      <c r="P769" s="610">
        <v>57.477119999999999</v>
      </c>
      <c r="Q769" s="141">
        <f t="shared" si="24"/>
        <v>0</v>
      </c>
    </row>
    <row r="770" spans="1:17" ht="21">
      <c r="A770" s="136" t="s">
        <v>3080</v>
      </c>
      <c r="B770" s="137" t="s">
        <v>3083</v>
      </c>
      <c r="C770" s="138" t="s">
        <v>1524</v>
      </c>
      <c r="D770" s="138" t="s">
        <v>1501</v>
      </c>
      <c r="E770" s="136" t="s">
        <v>1571</v>
      </c>
      <c r="F770" s="419">
        <v>41639</v>
      </c>
      <c r="G770" s="140">
        <v>442.80139000000003</v>
      </c>
      <c r="H770" s="140">
        <v>9</v>
      </c>
      <c r="I770" s="143" t="s">
        <v>189</v>
      </c>
      <c r="J770" s="140">
        <v>2.0301</v>
      </c>
      <c r="K770" s="140">
        <v>246.39011000000002</v>
      </c>
      <c r="L770" s="140">
        <v>253.60400000000001</v>
      </c>
      <c r="M770" s="143" t="s">
        <v>189</v>
      </c>
      <c r="N770" s="140">
        <v>1</v>
      </c>
      <c r="P770" s="608">
        <v>246.39011000000002</v>
      </c>
      <c r="Q770" s="141">
        <f t="shared" si="24"/>
        <v>0</v>
      </c>
    </row>
    <row r="771" spans="1:17" ht="21">
      <c r="A771" s="138" t="s">
        <v>3082</v>
      </c>
      <c r="B771" s="135" t="s">
        <v>3085</v>
      </c>
      <c r="C771" s="136" t="s">
        <v>1324</v>
      </c>
      <c r="D771" s="136" t="s">
        <v>1320</v>
      </c>
      <c r="E771" s="138" t="s">
        <v>1571</v>
      </c>
      <c r="F771" s="420">
        <v>42369</v>
      </c>
      <c r="G771" s="141">
        <v>440.79862000000003</v>
      </c>
      <c r="H771" s="141">
        <v>4</v>
      </c>
      <c r="I771" s="141">
        <v>6.0326400000000007</v>
      </c>
      <c r="J771" s="141">
        <v>19.103369999999998</v>
      </c>
      <c r="K771" s="141">
        <v>132.27965</v>
      </c>
      <c r="L771" s="141">
        <v>186.60204999999999</v>
      </c>
      <c r="M771" s="142" t="s">
        <v>189</v>
      </c>
      <c r="N771" s="141">
        <v>3</v>
      </c>
      <c r="P771" s="610">
        <v>132.27965</v>
      </c>
      <c r="Q771" s="141">
        <f t="shared" si="24"/>
        <v>0</v>
      </c>
    </row>
    <row r="772" spans="1:17" ht="21">
      <c r="A772" s="136" t="s">
        <v>3084</v>
      </c>
      <c r="B772" s="137" t="s">
        <v>3087</v>
      </c>
      <c r="C772" s="138" t="s">
        <v>1005</v>
      </c>
      <c r="D772" s="138" t="s">
        <v>975</v>
      </c>
      <c r="E772" s="136" t="s">
        <v>1571</v>
      </c>
      <c r="F772" s="419">
        <v>43100</v>
      </c>
      <c r="G772" s="140">
        <v>438.32147000000003</v>
      </c>
      <c r="H772" s="140">
        <v>6</v>
      </c>
      <c r="I772" s="143" t="s">
        <v>189</v>
      </c>
      <c r="J772" s="140">
        <v>-113.8908</v>
      </c>
      <c r="K772" s="140">
        <v>93.11966000000001</v>
      </c>
      <c r="L772" s="140">
        <v>-18.481840000000002</v>
      </c>
      <c r="M772" s="140">
        <v>1</v>
      </c>
      <c r="N772" s="140">
        <v>4</v>
      </c>
      <c r="O772" s="211">
        <f t="shared" si="23"/>
        <v>0.2</v>
      </c>
      <c r="P772" s="608">
        <v>93.11966000000001</v>
      </c>
      <c r="Q772" s="141">
        <f t="shared" si="24"/>
        <v>18.623932000000003</v>
      </c>
    </row>
    <row r="773" spans="1:17" ht="21">
      <c r="A773" s="138" t="s">
        <v>3086</v>
      </c>
      <c r="B773" s="135" t="s">
        <v>3089</v>
      </c>
      <c r="C773" s="136" t="s">
        <v>1367</v>
      </c>
      <c r="D773" s="136" t="s">
        <v>1368</v>
      </c>
      <c r="E773" s="138" t="s">
        <v>1571</v>
      </c>
      <c r="F773" s="420">
        <v>43100</v>
      </c>
      <c r="G773" s="141">
        <v>437.6977</v>
      </c>
      <c r="H773" s="141">
        <v>5</v>
      </c>
      <c r="I773" s="142" t="s">
        <v>189</v>
      </c>
      <c r="J773" s="141">
        <v>16.588470000000001</v>
      </c>
      <c r="K773" s="141">
        <v>195.20125000000002</v>
      </c>
      <c r="L773" s="141">
        <v>219.95506</v>
      </c>
      <c r="M773" s="142" t="s">
        <v>189</v>
      </c>
      <c r="N773" s="142" t="s">
        <v>189</v>
      </c>
      <c r="P773" s="610">
        <v>195.20125000000002</v>
      </c>
      <c r="Q773" s="141">
        <f t="shared" si="24"/>
        <v>0</v>
      </c>
    </row>
    <row r="774" spans="1:17" ht="42">
      <c r="A774" s="136" t="s">
        <v>3088</v>
      </c>
      <c r="B774" s="137" t="s">
        <v>3091</v>
      </c>
      <c r="C774" s="138" t="s">
        <v>1557</v>
      </c>
      <c r="D774" s="138" t="s">
        <v>1279</v>
      </c>
      <c r="E774" s="136" t="s">
        <v>1571</v>
      </c>
      <c r="F774" s="419">
        <v>43100</v>
      </c>
      <c r="G774" s="140">
        <v>433.87583999999998</v>
      </c>
      <c r="H774" s="140">
        <v>1</v>
      </c>
      <c r="I774" s="143" t="s">
        <v>189</v>
      </c>
      <c r="J774" s="140">
        <v>5.62995</v>
      </c>
      <c r="K774" s="140">
        <v>31.00788</v>
      </c>
      <c r="L774" s="140">
        <v>61.664250000000003</v>
      </c>
      <c r="M774" s="143" t="s">
        <v>189</v>
      </c>
      <c r="N774" s="143" t="s">
        <v>189</v>
      </c>
      <c r="P774" s="608">
        <v>31.00788</v>
      </c>
      <c r="Q774" s="141">
        <f t="shared" si="24"/>
        <v>0</v>
      </c>
    </row>
    <row r="775" spans="1:17" ht="31.5">
      <c r="A775" s="138" t="s">
        <v>3090</v>
      </c>
      <c r="B775" s="135" t="s">
        <v>3093</v>
      </c>
      <c r="C775" s="136" t="s">
        <v>936</v>
      </c>
      <c r="D775" s="136" t="s">
        <v>811</v>
      </c>
      <c r="E775" s="138" t="s">
        <v>1571</v>
      </c>
      <c r="F775" s="420">
        <v>43100</v>
      </c>
      <c r="G775" s="141">
        <v>432.19323000000003</v>
      </c>
      <c r="H775" s="141">
        <v>5</v>
      </c>
      <c r="I775" s="141">
        <v>22.947669999999999</v>
      </c>
      <c r="J775" s="141">
        <v>95.890889999999999</v>
      </c>
      <c r="K775" s="141">
        <v>133.29191999999998</v>
      </c>
      <c r="L775" s="141">
        <v>257.57283000000001</v>
      </c>
      <c r="M775" s="142" t="s">
        <v>189</v>
      </c>
      <c r="N775" s="141">
        <v>2</v>
      </c>
      <c r="P775" s="610">
        <v>133.29191999999998</v>
      </c>
      <c r="Q775" s="141">
        <f t="shared" si="24"/>
        <v>0</v>
      </c>
    </row>
    <row r="776" spans="1:17" ht="52.5">
      <c r="A776" s="136" t="s">
        <v>3092</v>
      </c>
      <c r="B776" s="137" t="s">
        <v>3095</v>
      </c>
      <c r="C776" s="138" t="s">
        <v>1562</v>
      </c>
      <c r="D776" s="138" t="s">
        <v>1279</v>
      </c>
      <c r="E776" s="136" t="s">
        <v>1571</v>
      </c>
      <c r="F776" s="419">
        <v>43100</v>
      </c>
      <c r="G776" s="140">
        <v>431.22613000000001</v>
      </c>
      <c r="H776" s="140">
        <v>1</v>
      </c>
      <c r="I776" s="140">
        <v>1.98173</v>
      </c>
      <c r="J776" s="140">
        <v>6.9472800000000001</v>
      </c>
      <c r="K776" s="140">
        <v>96.621320000000011</v>
      </c>
      <c r="L776" s="140">
        <v>108.01237000000002</v>
      </c>
      <c r="M776" s="143" t="s">
        <v>189</v>
      </c>
      <c r="N776" s="143" t="s">
        <v>189</v>
      </c>
      <c r="P776" s="608">
        <v>96.621320000000011</v>
      </c>
      <c r="Q776" s="141">
        <f t="shared" si="24"/>
        <v>0</v>
      </c>
    </row>
    <row r="777" spans="1:17" ht="21">
      <c r="A777" s="138" t="s">
        <v>3094</v>
      </c>
      <c r="B777" s="135" t="s">
        <v>3097</v>
      </c>
      <c r="C777" s="136" t="s">
        <v>944</v>
      </c>
      <c r="D777" s="136" t="s">
        <v>811</v>
      </c>
      <c r="E777" s="138" t="s">
        <v>1571</v>
      </c>
      <c r="F777" s="420">
        <v>43100</v>
      </c>
      <c r="G777" s="141">
        <v>428.57055000000003</v>
      </c>
      <c r="H777" s="141">
        <v>6</v>
      </c>
      <c r="I777" s="141">
        <v>11.708270000000001</v>
      </c>
      <c r="J777" s="141">
        <v>49.272320000000001</v>
      </c>
      <c r="K777" s="141">
        <v>183.52504999999999</v>
      </c>
      <c r="L777" s="141">
        <v>273.72458900000004</v>
      </c>
      <c r="M777" s="142" t="s">
        <v>189</v>
      </c>
      <c r="N777" s="142" t="s">
        <v>189</v>
      </c>
      <c r="P777" s="610">
        <v>183.52504999999999</v>
      </c>
      <c r="Q777" s="141">
        <f t="shared" si="24"/>
        <v>0</v>
      </c>
    </row>
    <row r="778" spans="1:17" ht="63">
      <c r="A778" s="136" t="s">
        <v>3096</v>
      </c>
      <c r="B778" s="137" t="s">
        <v>3099</v>
      </c>
      <c r="C778" s="138" t="s">
        <v>1384</v>
      </c>
      <c r="D778" s="138" t="s">
        <v>1797</v>
      </c>
      <c r="E778" s="136" t="s">
        <v>1571</v>
      </c>
      <c r="F778" s="419">
        <v>43100</v>
      </c>
      <c r="G778" s="140">
        <v>427.86099000000007</v>
      </c>
      <c r="H778" s="140">
        <v>1</v>
      </c>
      <c r="I778" s="140">
        <v>0.50751000000000002</v>
      </c>
      <c r="J778" s="140">
        <v>1.0836399999999999</v>
      </c>
      <c r="K778" s="140">
        <v>29.871980000000004</v>
      </c>
      <c r="L778" s="140">
        <v>34.096540000000005</v>
      </c>
      <c r="M778" s="143" t="s">
        <v>189</v>
      </c>
      <c r="N778" s="143" t="s">
        <v>189</v>
      </c>
      <c r="P778" s="608">
        <v>29.871980000000004</v>
      </c>
      <c r="Q778" s="141">
        <f t="shared" si="24"/>
        <v>0</v>
      </c>
    </row>
    <row r="779" spans="1:17">
      <c r="A779" s="138" t="s">
        <v>3098</v>
      </c>
      <c r="B779" s="135" t="s">
        <v>3101</v>
      </c>
      <c r="C779" s="136" t="s">
        <v>1035</v>
      </c>
      <c r="D779" s="136" t="s">
        <v>1027</v>
      </c>
      <c r="E779" s="138" t="s">
        <v>1571</v>
      </c>
      <c r="F779" s="420">
        <v>43100</v>
      </c>
      <c r="G779" s="141">
        <v>424.68829999999997</v>
      </c>
      <c r="H779" s="141">
        <v>4</v>
      </c>
      <c r="I779" s="141">
        <v>6.9208600000000011</v>
      </c>
      <c r="J779" s="141">
        <v>29.125299999999999</v>
      </c>
      <c r="K779" s="141">
        <v>114.14928999999999</v>
      </c>
      <c r="L779" s="141">
        <v>150.51677000000001</v>
      </c>
      <c r="M779" s="142" t="s">
        <v>189</v>
      </c>
      <c r="N779" s="142" t="s">
        <v>189</v>
      </c>
      <c r="P779" s="610">
        <v>114.14928999999999</v>
      </c>
      <c r="Q779" s="141">
        <f t="shared" si="24"/>
        <v>0</v>
      </c>
    </row>
    <row r="780" spans="1:17" ht="21">
      <c r="A780" s="136" t="s">
        <v>3100</v>
      </c>
      <c r="B780" s="137" t="s">
        <v>3103</v>
      </c>
      <c r="C780" s="138" t="s">
        <v>995</v>
      </c>
      <c r="D780" s="138" t="s">
        <v>975</v>
      </c>
      <c r="E780" s="136" t="s">
        <v>1571</v>
      </c>
      <c r="F780" s="419">
        <v>39082</v>
      </c>
      <c r="G780" s="140">
        <v>419.16527000000002</v>
      </c>
      <c r="H780" s="140">
        <v>1</v>
      </c>
      <c r="I780" s="140">
        <v>2.1127599999999997</v>
      </c>
      <c r="J780" s="140">
        <v>4.9297699999999995</v>
      </c>
      <c r="K780" s="140">
        <v>43.869010000000003</v>
      </c>
      <c r="L780" s="140">
        <v>84.678479999999993</v>
      </c>
      <c r="M780" s="143" t="s">
        <v>189</v>
      </c>
      <c r="N780" s="143" t="s">
        <v>189</v>
      </c>
      <c r="P780" s="608">
        <v>43.869010000000003</v>
      </c>
      <c r="Q780" s="141">
        <f t="shared" si="24"/>
        <v>0</v>
      </c>
    </row>
    <row r="781" spans="1:17" ht="42">
      <c r="A781" s="138" t="s">
        <v>3102</v>
      </c>
      <c r="B781" s="135" t="s">
        <v>3105</v>
      </c>
      <c r="C781" s="136" t="s">
        <v>1010</v>
      </c>
      <c r="D781" s="136" t="s">
        <v>987</v>
      </c>
      <c r="E781" s="138" t="s">
        <v>1571</v>
      </c>
      <c r="F781" s="420">
        <v>43100</v>
      </c>
      <c r="G781" s="141">
        <v>414.88143000000008</v>
      </c>
      <c r="H781" s="141">
        <v>3</v>
      </c>
      <c r="I781" s="142" t="s">
        <v>189</v>
      </c>
      <c r="J781" s="141">
        <v>3.8252899999999999</v>
      </c>
      <c r="K781" s="141">
        <v>79.13327000000001</v>
      </c>
      <c r="L781" s="141">
        <v>90.997950000000003</v>
      </c>
      <c r="M781" s="141">
        <v>2</v>
      </c>
      <c r="N781" s="141">
        <v>3</v>
      </c>
      <c r="O781" s="211">
        <f t="shared" si="23"/>
        <v>0.4</v>
      </c>
      <c r="P781" s="610">
        <v>79.13327000000001</v>
      </c>
      <c r="Q781" s="141">
        <f t="shared" si="24"/>
        <v>31.653308000000006</v>
      </c>
    </row>
    <row r="782" spans="1:17" ht="63">
      <c r="A782" s="136" t="s">
        <v>3104</v>
      </c>
      <c r="B782" s="137" t="s">
        <v>3107</v>
      </c>
      <c r="C782" s="138" t="s">
        <v>1248</v>
      </c>
      <c r="D782" s="138" t="s">
        <v>1249</v>
      </c>
      <c r="E782" s="136" t="s">
        <v>1571</v>
      </c>
      <c r="F782" s="419">
        <v>43100</v>
      </c>
      <c r="G782" s="140">
        <v>404.85223999999999</v>
      </c>
      <c r="H782" s="143" t="s">
        <v>189</v>
      </c>
      <c r="I782" s="140"/>
      <c r="J782" s="140">
        <v>-32.07602</v>
      </c>
      <c r="K782" s="140">
        <v>103.30955</v>
      </c>
      <c r="L782" s="140">
        <v>96.379419999999996</v>
      </c>
      <c r="M782" s="140">
        <v>1</v>
      </c>
      <c r="N782" s="140">
        <v>4</v>
      </c>
      <c r="O782" s="211">
        <f t="shared" si="23"/>
        <v>0.2</v>
      </c>
      <c r="P782" s="608">
        <v>103.30955</v>
      </c>
      <c r="Q782" s="141">
        <f t="shared" si="24"/>
        <v>20.661910000000002</v>
      </c>
    </row>
    <row r="783" spans="1:17" ht="42">
      <c r="A783" s="138" t="s">
        <v>3106</v>
      </c>
      <c r="B783" s="135" t="s">
        <v>3109</v>
      </c>
      <c r="C783" s="136" t="s">
        <v>1222</v>
      </c>
      <c r="D783" s="136" t="s">
        <v>1223</v>
      </c>
      <c r="E783" s="138" t="s">
        <v>1571</v>
      </c>
      <c r="F783" s="420">
        <v>43100</v>
      </c>
      <c r="G783" s="141">
        <v>400.72595000000001</v>
      </c>
      <c r="H783" s="141">
        <v>2</v>
      </c>
      <c r="I783" s="142" t="s">
        <v>189</v>
      </c>
      <c r="J783" s="141">
        <v>3.0723100000000003</v>
      </c>
      <c r="K783" s="141">
        <v>49.67606</v>
      </c>
      <c r="L783" s="141">
        <v>62.948369</v>
      </c>
      <c r="M783" s="142" t="s">
        <v>189</v>
      </c>
      <c r="N783" s="142" t="s">
        <v>189</v>
      </c>
      <c r="P783" s="610">
        <v>49.67606</v>
      </c>
      <c r="Q783" s="141">
        <f t="shared" si="24"/>
        <v>0</v>
      </c>
    </row>
    <row r="784" spans="1:17" ht="21">
      <c r="A784" s="136" t="s">
        <v>3108</v>
      </c>
      <c r="B784" s="137" t="s">
        <v>3111</v>
      </c>
      <c r="C784" s="138" t="s">
        <v>1127</v>
      </c>
      <c r="D784" s="138" t="s">
        <v>1112</v>
      </c>
      <c r="E784" s="136" t="s">
        <v>1571</v>
      </c>
      <c r="F784" s="419">
        <v>43100</v>
      </c>
      <c r="G784" s="140">
        <v>395.06562000000002</v>
      </c>
      <c r="H784" s="140">
        <v>5</v>
      </c>
      <c r="I784" s="143" t="s">
        <v>189</v>
      </c>
      <c r="J784" s="140">
        <v>-36.436289999999993</v>
      </c>
      <c r="K784" s="140">
        <v>185.40394999999998</v>
      </c>
      <c r="L784" s="140">
        <v>149.16791999999998</v>
      </c>
      <c r="M784" s="140">
        <v>3</v>
      </c>
      <c r="N784" s="140">
        <v>5</v>
      </c>
      <c r="O784" s="211">
        <f t="shared" si="23"/>
        <v>0.375</v>
      </c>
      <c r="P784" s="608">
        <v>185.40394999999998</v>
      </c>
      <c r="Q784" s="141">
        <f t="shared" si="24"/>
        <v>69.526481249999989</v>
      </c>
    </row>
    <row r="785" spans="1:17" ht="21">
      <c r="A785" s="138" t="s">
        <v>3110</v>
      </c>
      <c r="B785" s="135" t="s">
        <v>3113</v>
      </c>
      <c r="C785" s="136" t="s">
        <v>1454</v>
      </c>
      <c r="D785" s="136" t="s">
        <v>1456</v>
      </c>
      <c r="E785" s="138" t="s">
        <v>1571</v>
      </c>
      <c r="F785" s="420">
        <v>43100</v>
      </c>
      <c r="G785" s="141">
        <v>391.97578000000004</v>
      </c>
      <c r="H785" s="141">
        <v>8</v>
      </c>
      <c r="I785" s="141">
        <v>0.59892999999999996</v>
      </c>
      <c r="J785" s="141">
        <v>2.5205000000000002</v>
      </c>
      <c r="K785" s="141">
        <v>263.06581</v>
      </c>
      <c r="L785" s="141">
        <v>266.86543000000006</v>
      </c>
      <c r="M785" s="142" t="s">
        <v>189</v>
      </c>
      <c r="N785" s="142" t="s">
        <v>189</v>
      </c>
      <c r="P785" s="610">
        <v>263.06581</v>
      </c>
      <c r="Q785" s="141">
        <f t="shared" si="24"/>
        <v>0</v>
      </c>
    </row>
    <row r="786" spans="1:17" ht="21">
      <c r="A786" s="136" t="s">
        <v>3112</v>
      </c>
      <c r="B786" s="137" t="s">
        <v>3115</v>
      </c>
      <c r="C786" s="138" t="s">
        <v>1365</v>
      </c>
      <c r="D786" s="138" t="s">
        <v>1366</v>
      </c>
      <c r="E786" s="136" t="s">
        <v>1571</v>
      </c>
      <c r="F786" s="419">
        <v>43100</v>
      </c>
      <c r="G786" s="140">
        <v>388.49726000000004</v>
      </c>
      <c r="H786" s="140">
        <v>4</v>
      </c>
      <c r="I786" s="140"/>
      <c r="J786" s="140">
        <v>-5.6404399999999999</v>
      </c>
      <c r="K786" s="140">
        <v>227.64408</v>
      </c>
      <c r="L786" s="140">
        <v>223.63263000000001</v>
      </c>
      <c r="M786" s="143" t="s">
        <v>189</v>
      </c>
      <c r="N786" s="143" t="s">
        <v>189</v>
      </c>
      <c r="P786" s="608">
        <v>227.64408</v>
      </c>
      <c r="Q786" s="141">
        <f t="shared" si="24"/>
        <v>0</v>
      </c>
    </row>
    <row r="787" spans="1:17" ht="52.5">
      <c r="A787" s="138" t="s">
        <v>3114</v>
      </c>
      <c r="B787" s="135" t="s">
        <v>3117</v>
      </c>
      <c r="C787" s="136" t="s">
        <v>829</v>
      </c>
      <c r="D787" s="136" t="s">
        <v>811</v>
      </c>
      <c r="E787" s="138" t="s">
        <v>1571</v>
      </c>
      <c r="F787" s="420">
        <v>43100</v>
      </c>
      <c r="G787" s="141">
        <v>386.91300000000001</v>
      </c>
      <c r="H787" s="141">
        <v>8</v>
      </c>
      <c r="I787" s="141"/>
      <c r="J787" s="141">
        <v>-8.8557500000000005</v>
      </c>
      <c r="K787" s="141">
        <v>223.11937999999998</v>
      </c>
      <c r="L787" s="141">
        <v>220.30005</v>
      </c>
      <c r="M787" s="142" t="s">
        <v>189</v>
      </c>
      <c r="N787" s="142" t="s">
        <v>189</v>
      </c>
      <c r="P787" s="610">
        <v>223.11937999999998</v>
      </c>
      <c r="Q787" s="141">
        <f t="shared" si="24"/>
        <v>0</v>
      </c>
    </row>
    <row r="788" spans="1:17" ht="21">
      <c r="A788" s="136" t="s">
        <v>3116</v>
      </c>
      <c r="B788" s="137" t="s">
        <v>3119</v>
      </c>
      <c r="C788" s="138" t="s">
        <v>772</v>
      </c>
      <c r="D788" s="138" t="s">
        <v>753</v>
      </c>
      <c r="E788" s="136" t="s">
        <v>1571</v>
      </c>
      <c r="F788" s="419">
        <v>43100</v>
      </c>
      <c r="G788" s="140">
        <v>382.12920000000003</v>
      </c>
      <c r="H788" s="140">
        <v>4</v>
      </c>
      <c r="I788" s="140">
        <v>1.0346169999999999</v>
      </c>
      <c r="J788" s="140">
        <v>22.816009999999999</v>
      </c>
      <c r="K788" s="140">
        <v>158.90133</v>
      </c>
      <c r="L788" s="140">
        <v>191.11472700000002</v>
      </c>
      <c r="M788" s="140">
        <v>3</v>
      </c>
      <c r="N788" s="140">
        <v>1</v>
      </c>
      <c r="O788" s="211">
        <f t="shared" si="23"/>
        <v>0.75</v>
      </c>
      <c r="P788" s="608">
        <v>158.90133</v>
      </c>
      <c r="Q788" s="141">
        <f t="shared" si="24"/>
        <v>119.17599749999999</v>
      </c>
    </row>
    <row r="789" spans="1:17" ht="31.5">
      <c r="A789" s="138" t="s">
        <v>3118</v>
      </c>
      <c r="B789" s="421" t="s">
        <v>3121</v>
      </c>
      <c r="C789" s="136" t="s">
        <v>1105</v>
      </c>
      <c r="D789" s="136" t="s">
        <v>969</v>
      </c>
      <c r="E789" s="138" t="s">
        <v>1571</v>
      </c>
      <c r="F789" s="420">
        <v>43100</v>
      </c>
      <c r="G789" s="141">
        <v>376.20002000000005</v>
      </c>
      <c r="H789" s="141">
        <v>4</v>
      </c>
      <c r="I789" s="142" t="s">
        <v>189</v>
      </c>
      <c r="J789" s="141">
        <v>8.8515800000000002</v>
      </c>
      <c r="K789" s="141">
        <v>145.70717000000002</v>
      </c>
      <c r="L789" s="141">
        <v>155.66952000000001</v>
      </c>
      <c r="M789" s="142" t="s">
        <v>189</v>
      </c>
      <c r="N789" s="142" t="s">
        <v>189</v>
      </c>
      <c r="P789" s="610">
        <v>145.70717000000002</v>
      </c>
      <c r="Q789" s="141">
        <f t="shared" si="24"/>
        <v>0</v>
      </c>
    </row>
    <row r="790" spans="1:17" ht="42">
      <c r="A790" s="136" t="s">
        <v>3120</v>
      </c>
      <c r="B790" s="137" t="s">
        <v>3123</v>
      </c>
      <c r="C790" s="138" t="s">
        <v>1518</v>
      </c>
      <c r="D790" s="138" t="s">
        <v>1501</v>
      </c>
      <c r="E790" s="136" t="s">
        <v>1571</v>
      </c>
      <c r="F790" s="419">
        <v>40908</v>
      </c>
      <c r="G790" s="140">
        <v>375.0213</v>
      </c>
      <c r="H790" s="140">
        <v>4</v>
      </c>
      <c r="I790" s="143" t="s">
        <v>189</v>
      </c>
      <c r="J790" s="140">
        <v>10.615170000000001</v>
      </c>
      <c r="K790" s="140">
        <v>99.628720000000001</v>
      </c>
      <c r="L790" s="140">
        <v>112.23183</v>
      </c>
      <c r="M790" s="143" t="s">
        <v>189</v>
      </c>
      <c r="N790" s="143" t="s">
        <v>189</v>
      </c>
      <c r="P790" s="608">
        <v>99.628720000000001</v>
      </c>
      <c r="Q790" s="141">
        <f t="shared" si="24"/>
        <v>0</v>
      </c>
    </row>
    <row r="791" spans="1:17" ht="31.5">
      <c r="A791" s="138" t="s">
        <v>3122</v>
      </c>
      <c r="B791" s="135" t="s">
        <v>3125</v>
      </c>
      <c r="C791" s="136" t="s">
        <v>762</v>
      </c>
      <c r="D791" s="136" t="s">
        <v>753</v>
      </c>
      <c r="E791" s="138" t="s">
        <v>1571</v>
      </c>
      <c r="F791" s="420">
        <v>43100</v>
      </c>
      <c r="G791" s="141">
        <v>372.71121000000005</v>
      </c>
      <c r="H791" s="141">
        <v>9</v>
      </c>
      <c r="I791" s="142" t="s">
        <v>189</v>
      </c>
      <c r="J791" s="141">
        <v>-16.196469999999998</v>
      </c>
      <c r="K791" s="141">
        <v>216.77444999999997</v>
      </c>
      <c r="L791" s="141">
        <v>210.53618</v>
      </c>
      <c r="M791" s="142" t="s">
        <v>189</v>
      </c>
      <c r="N791" s="142" t="s">
        <v>189</v>
      </c>
      <c r="P791" s="610">
        <v>216.77444999999997</v>
      </c>
      <c r="Q791" s="141">
        <f t="shared" si="24"/>
        <v>0</v>
      </c>
    </row>
    <row r="792" spans="1:17" ht="21">
      <c r="A792" s="136" t="s">
        <v>3124</v>
      </c>
      <c r="B792" s="137" t="s">
        <v>3127</v>
      </c>
      <c r="C792" s="138" t="s">
        <v>933</v>
      </c>
      <c r="D792" s="138" t="s">
        <v>811</v>
      </c>
      <c r="E792" s="136" t="s">
        <v>1571</v>
      </c>
      <c r="F792" s="419">
        <v>43100</v>
      </c>
      <c r="G792" s="140">
        <v>363.93925999999999</v>
      </c>
      <c r="H792" s="140">
        <v>4</v>
      </c>
      <c r="I792" s="143" t="s">
        <v>189</v>
      </c>
      <c r="J792" s="140">
        <v>5.5671600000000012</v>
      </c>
      <c r="K792" s="140">
        <v>186.06281999999999</v>
      </c>
      <c r="L792" s="140">
        <v>200.40257</v>
      </c>
      <c r="M792" s="143" t="s">
        <v>189</v>
      </c>
      <c r="N792" s="143" t="s">
        <v>189</v>
      </c>
      <c r="P792" s="608">
        <v>186.06281999999999</v>
      </c>
      <c r="Q792" s="141">
        <f t="shared" si="24"/>
        <v>0</v>
      </c>
    </row>
    <row r="793" spans="1:17" ht="21">
      <c r="A793" s="138" t="s">
        <v>3126</v>
      </c>
      <c r="B793" s="135" t="s">
        <v>3129</v>
      </c>
      <c r="C793" s="136" t="s">
        <v>754</v>
      </c>
      <c r="D793" s="136" t="s">
        <v>753</v>
      </c>
      <c r="E793" s="138" t="s">
        <v>1571</v>
      </c>
      <c r="F793" s="420">
        <v>43100</v>
      </c>
      <c r="G793" s="141">
        <v>361.57688900000005</v>
      </c>
      <c r="H793" s="141">
        <v>4</v>
      </c>
      <c r="I793" s="142" t="s">
        <v>189</v>
      </c>
      <c r="J793" s="141">
        <v>5.8763900000000007</v>
      </c>
      <c r="K793" s="141">
        <v>133.72470900000002</v>
      </c>
      <c r="L793" s="141">
        <v>142.34830899999997</v>
      </c>
      <c r="M793" s="142" t="s">
        <v>189</v>
      </c>
      <c r="N793" s="142" t="s">
        <v>189</v>
      </c>
      <c r="P793" s="610">
        <v>133.72470900000002</v>
      </c>
      <c r="Q793" s="141">
        <f t="shared" si="24"/>
        <v>0</v>
      </c>
    </row>
    <row r="794" spans="1:17">
      <c r="A794" s="136" t="s">
        <v>3128</v>
      </c>
      <c r="B794" s="137" t="s">
        <v>3131</v>
      </c>
      <c r="C794" s="138" t="s">
        <v>935</v>
      </c>
      <c r="D794" s="138" t="s">
        <v>811</v>
      </c>
      <c r="E794" s="136" t="s">
        <v>1571</v>
      </c>
      <c r="F794" s="419">
        <v>43100</v>
      </c>
      <c r="G794" s="140">
        <v>359.29532</v>
      </c>
      <c r="H794" s="140">
        <v>4</v>
      </c>
      <c r="I794" s="140">
        <v>22.64873</v>
      </c>
      <c r="J794" s="140">
        <v>92.898589999999999</v>
      </c>
      <c r="K794" s="140">
        <v>137.43332999999998</v>
      </c>
      <c r="L794" s="140">
        <v>253.98212899999999</v>
      </c>
      <c r="M794" s="140">
        <v>4</v>
      </c>
      <c r="N794" s="140">
        <v>6</v>
      </c>
      <c r="O794" s="211">
        <f t="shared" si="23"/>
        <v>0.4</v>
      </c>
      <c r="P794" s="608">
        <v>137.43332999999998</v>
      </c>
      <c r="Q794" s="141">
        <f t="shared" si="24"/>
        <v>54.973331999999999</v>
      </c>
    </row>
    <row r="795" spans="1:17" ht="52.5">
      <c r="A795" s="138" t="s">
        <v>3130</v>
      </c>
      <c r="B795" s="135" t="s">
        <v>3133</v>
      </c>
      <c r="C795" s="136" t="s">
        <v>1231</v>
      </c>
      <c r="D795" s="136" t="s">
        <v>1235</v>
      </c>
      <c r="E795" s="138" t="s">
        <v>1571</v>
      </c>
      <c r="F795" s="420">
        <v>43100</v>
      </c>
      <c r="G795" s="141">
        <v>354.87564900000001</v>
      </c>
      <c r="H795" s="141">
        <v>4</v>
      </c>
      <c r="I795" s="141">
        <v>2.9162300000000001</v>
      </c>
      <c r="J795" s="141">
        <v>24.571470000000001</v>
      </c>
      <c r="K795" s="141">
        <v>121.46934</v>
      </c>
      <c r="L795" s="141">
        <v>153.81187</v>
      </c>
      <c r="M795" s="142" t="s">
        <v>189</v>
      </c>
      <c r="N795" s="142" t="s">
        <v>189</v>
      </c>
      <c r="P795" s="610">
        <v>121.46934</v>
      </c>
      <c r="Q795" s="141">
        <f t="shared" si="24"/>
        <v>0</v>
      </c>
    </row>
    <row r="796" spans="1:17" ht="21">
      <c r="A796" s="136" t="s">
        <v>3132</v>
      </c>
      <c r="B796" s="137" t="s">
        <v>3135</v>
      </c>
      <c r="C796" s="138" t="s">
        <v>637</v>
      </c>
      <c r="D796" s="138" t="s">
        <v>1972</v>
      </c>
      <c r="E796" s="136" t="s">
        <v>1571</v>
      </c>
      <c r="F796" s="419">
        <v>43100</v>
      </c>
      <c r="G796" s="140">
        <v>354.77497000000005</v>
      </c>
      <c r="H796" s="140">
        <v>2</v>
      </c>
      <c r="I796" s="140">
        <v>1.0106299999999999</v>
      </c>
      <c r="J796" s="140">
        <v>4.2530700000000001</v>
      </c>
      <c r="K796" s="140">
        <v>72.644000000000005</v>
      </c>
      <c r="L796" s="140">
        <v>79.104399999999998</v>
      </c>
      <c r="M796" s="143" t="s">
        <v>189</v>
      </c>
      <c r="N796" s="143" t="s">
        <v>189</v>
      </c>
      <c r="P796" s="608">
        <v>72.644000000000005</v>
      </c>
      <c r="Q796" s="141">
        <f t="shared" si="24"/>
        <v>0</v>
      </c>
    </row>
    <row r="797" spans="1:17" ht="31.5">
      <c r="A797" s="138" t="s">
        <v>3134</v>
      </c>
      <c r="B797" s="135" t="s">
        <v>3137</v>
      </c>
      <c r="C797" s="136" t="s">
        <v>1479</v>
      </c>
      <c r="D797" s="136" t="s">
        <v>1474</v>
      </c>
      <c r="E797" s="138" t="s">
        <v>1571</v>
      </c>
      <c r="F797" s="420">
        <v>43100</v>
      </c>
      <c r="G797" s="141">
        <v>340.15618000000001</v>
      </c>
      <c r="H797" s="141">
        <v>6</v>
      </c>
      <c r="I797" s="141">
        <v>5.8324100000000003</v>
      </c>
      <c r="J797" s="141">
        <v>48.874229999999997</v>
      </c>
      <c r="K797" s="141">
        <v>175.16977000000003</v>
      </c>
      <c r="L797" s="141">
        <v>243.51641900000001</v>
      </c>
      <c r="M797" s="142" t="s">
        <v>189</v>
      </c>
      <c r="N797" s="142" t="s">
        <v>189</v>
      </c>
      <c r="P797" s="610">
        <v>175.16977000000003</v>
      </c>
      <c r="Q797" s="141">
        <f t="shared" si="24"/>
        <v>0</v>
      </c>
    </row>
    <row r="798" spans="1:17">
      <c r="A798" s="136" t="s">
        <v>3136</v>
      </c>
      <c r="B798" s="137" t="s">
        <v>3139</v>
      </c>
      <c r="C798" s="138" t="s">
        <v>644</v>
      </c>
      <c r="D798" s="138" t="s">
        <v>641</v>
      </c>
      <c r="E798" s="136" t="s">
        <v>1571</v>
      </c>
      <c r="F798" s="419">
        <v>43100</v>
      </c>
      <c r="G798" s="140">
        <v>336.88973000000004</v>
      </c>
      <c r="H798" s="140">
        <v>2</v>
      </c>
      <c r="I798" s="140">
        <v>0.25911000000000001</v>
      </c>
      <c r="J798" s="140">
        <v>0.82052999999999998</v>
      </c>
      <c r="K798" s="140">
        <v>31.860800000000001</v>
      </c>
      <c r="L798" s="140">
        <v>39.478500000000004</v>
      </c>
      <c r="M798" s="143" t="s">
        <v>189</v>
      </c>
      <c r="N798" s="143" t="s">
        <v>189</v>
      </c>
      <c r="P798" s="608">
        <v>31.860800000000001</v>
      </c>
      <c r="Q798" s="141">
        <f t="shared" si="24"/>
        <v>0</v>
      </c>
    </row>
    <row r="799" spans="1:17" ht="31.5">
      <c r="A799" s="138" t="s">
        <v>3138</v>
      </c>
      <c r="B799" s="135" t="s">
        <v>3141</v>
      </c>
      <c r="C799" s="136" t="s">
        <v>1310</v>
      </c>
      <c r="D799" s="136" t="s">
        <v>1311</v>
      </c>
      <c r="E799" s="138" t="s">
        <v>1571</v>
      </c>
      <c r="F799" s="420">
        <v>43100</v>
      </c>
      <c r="G799" s="141">
        <v>335.71418</v>
      </c>
      <c r="H799" s="141">
        <v>1</v>
      </c>
      <c r="I799" s="142" t="s">
        <v>189</v>
      </c>
      <c r="J799" s="141">
        <v>1.0935999999999999</v>
      </c>
      <c r="K799" s="141">
        <v>73.965690000000009</v>
      </c>
      <c r="L799" s="141">
        <v>92.990320000000011</v>
      </c>
      <c r="M799" s="142" t="s">
        <v>189</v>
      </c>
      <c r="N799" s="142" t="s">
        <v>189</v>
      </c>
      <c r="P799" s="610">
        <v>73.965690000000009</v>
      </c>
      <c r="Q799" s="141">
        <f t="shared" si="24"/>
        <v>0</v>
      </c>
    </row>
    <row r="800" spans="1:17" ht="21">
      <c r="A800" s="136" t="s">
        <v>3140</v>
      </c>
      <c r="B800" s="137" t="s">
        <v>3143</v>
      </c>
      <c r="C800" s="138" t="s">
        <v>1290</v>
      </c>
      <c r="D800" s="138" t="s">
        <v>1266</v>
      </c>
      <c r="E800" s="136" t="s">
        <v>1571</v>
      </c>
      <c r="F800" s="419">
        <v>43100</v>
      </c>
      <c r="G800" s="140">
        <v>334.64689000000004</v>
      </c>
      <c r="H800" s="140">
        <v>5</v>
      </c>
      <c r="I800" s="140">
        <v>0.74199999999999999</v>
      </c>
      <c r="J800" s="140">
        <v>9.0845099999999999</v>
      </c>
      <c r="K800" s="140">
        <v>101.64390999999999</v>
      </c>
      <c r="L800" s="140">
        <v>119.75645</v>
      </c>
      <c r="M800" s="143" t="s">
        <v>189</v>
      </c>
      <c r="N800" s="143" t="s">
        <v>189</v>
      </c>
      <c r="P800" s="608">
        <v>101.64390999999999</v>
      </c>
      <c r="Q800" s="141">
        <f t="shared" si="24"/>
        <v>0</v>
      </c>
    </row>
    <row r="801" spans="1:17" ht="63">
      <c r="A801" s="138" t="s">
        <v>3142</v>
      </c>
      <c r="B801" s="135" t="s">
        <v>3145</v>
      </c>
      <c r="C801" s="136" t="s">
        <v>1355</v>
      </c>
      <c r="D801" s="136" t="s">
        <v>1341</v>
      </c>
      <c r="E801" s="138" t="s">
        <v>1571</v>
      </c>
      <c r="F801" s="420">
        <v>43100</v>
      </c>
      <c r="G801" s="141">
        <v>334.27249999999998</v>
      </c>
      <c r="H801" s="141">
        <v>6</v>
      </c>
      <c r="I801" s="142" t="s">
        <v>189</v>
      </c>
      <c r="J801" s="141">
        <v>3.8436400000000002</v>
      </c>
      <c r="K801" s="141">
        <v>123.33568000000001</v>
      </c>
      <c r="L801" s="141">
        <v>134.46355</v>
      </c>
      <c r="M801" s="142" t="s">
        <v>189</v>
      </c>
      <c r="N801" s="142" t="s">
        <v>189</v>
      </c>
      <c r="P801" s="610">
        <v>123.33568000000001</v>
      </c>
      <c r="Q801" s="141">
        <f t="shared" si="24"/>
        <v>0</v>
      </c>
    </row>
    <row r="802" spans="1:17" ht="31.5">
      <c r="A802" s="136" t="s">
        <v>3144</v>
      </c>
      <c r="B802" s="137" t="s">
        <v>3147</v>
      </c>
      <c r="C802" s="138" t="s">
        <v>1236</v>
      </c>
      <c r="D802" s="138" t="s">
        <v>1235</v>
      </c>
      <c r="E802" s="136" t="s">
        <v>1571</v>
      </c>
      <c r="F802" s="419">
        <v>43100</v>
      </c>
      <c r="G802" s="140">
        <v>332.44420000000002</v>
      </c>
      <c r="H802" s="140">
        <v>3</v>
      </c>
      <c r="I802" s="140">
        <v>0.26128999999999997</v>
      </c>
      <c r="J802" s="140">
        <v>1.0995999999999999</v>
      </c>
      <c r="K802" s="140">
        <v>120.14703999999999</v>
      </c>
      <c r="L802" s="140">
        <v>136.10428899999999</v>
      </c>
      <c r="M802" s="143" t="s">
        <v>189</v>
      </c>
      <c r="N802" s="143" t="s">
        <v>189</v>
      </c>
      <c r="P802" s="608">
        <v>120.14703999999999</v>
      </c>
      <c r="Q802" s="141">
        <f t="shared" ref="Q802:Q865" si="25">O802*P802</f>
        <v>0</v>
      </c>
    </row>
    <row r="803" spans="1:17" ht="21">
      <c r="A803" s="138" t="s">
        <v>3146</v>
      </c>
      <c r="B803" s="135" t="s">
        <v>3149</v>
      </c>
      <c r="C803" s="136" t="s">
        <v>777</v>
      </c>
      <c r="D803" s="136" t="s">
        <v>778</v>
      </c>
      <c r="E803" s="138" t="s">
        <v>1571</v>
      </c>
      <c r="F803" s="420">
        <v>43100</v>
      </c>
      <c r="G803" s="141">
        <v>329.24445000000003</v>
      </c>
      <c r="H803" s="141">
        <v>2</v>
      </c>
      <c r="I803" s="141">
        <v>5.92455</v>
      </c>
      <c r="J803" s="141">
        <v>26.172129999999999</v>
      </c>
      <c r="K803" s="141">
        <v>119.42174</v>
      </c>
      <c r="L803" s="141">
        <v>173.84827000000001</v>
      </c>
      <c r="M803" s="142" t="s">
        <v>189</v>
      </c>
      <c r="N803" s="142" t="s">
        <v>189</v>
      </c>
      <c r="P803" s="610">
        <v>119.42174</v>
      </c>
      <c r="Q803" s="141">
        <f t="shared" si="25"/>
        <v>0</v>
      </c>
    </row>
    <row r="804" spans="1:17" ht="21">
      <c r="A804" s="136" t="s">
        <v>3148</v>
      </c>
      <c r="B804" s="137" t="s">
        <v>3151</v>
      </c>
      <c r="C804" s="138" t="s">
        <v>1460</v>
      </c>
      <c r="D804" s="138" t="s">
        <v>1456</v>
      </c>
      <c r="E804" s="136" t="s">
        <v>1571</v>
      </c>
      <c r="F804" s="419">
        <v>43100</v>
      </c>
      <c r="G804" s="140">
        <v>327.87777</v>
      </c>
      <c r="H804" s="140">
        <v>1</v>
      </c>
      <c r="I804" s="140">
        <v>4.5539100000000001</v>
      </c>
      <c r="J804" s="140">
        <v>14.240410000000001</v>
      </c>
      <c r="K804" s="140">
        <v>25.657619999999998</v>
      </c>
      <c r="L804" s="140">
        <v>46.635919999999999</v>
      </c>
      <c r="M804" s="143" t="s">
        <v>189</v>
      </c>
      <c r="N804" s="143" t="s">
        <v>189</v>
      </c>
      <c r="P804" s="608">
        <v>25.657619999999998</v>
      </c>
      <c r="Q804" s="141">
        <f t="shared" si="25"/>
        <v>0</v>
      </c>
    </row>
    <row r="805" spans="1:17" ht="31.5">
      <c r="A805" s="138" t="s">
        <v>3150</v>
      </c>
      <c r="B805" s="135" t="s">
        <v>3153</v>
      </c>
      <c r="C805" s="136" t="s">
        <v>831</v>
      </c>
      <c r="D805" s="136" t="s">
        <v>1474</v>
      </c>
      <c r="E805" s="138" t="s">
        <v>1571</v>
      </c>
      <c r="F805" s="420">
        <v>43100</v>
      </c>
      <c r="G805" s="141">
        <v>327.82040000000001</v>
      </c>
      <c r="H805" s="141">
        <v>2</v>
      </c>
      <c r="I805" s="141">
        <v>12.497710000000001</v>
      </c>
      <c r="J805" s="141">
        <v>52.594540000000002</v>
      </c>
      <c r="K805" s="141">
        <v>209.32255000000001</v>
      </c>
      <c r="L805" s="141">
        <v>281.37970000000001</v>
      </c>
      <c r="M805" s="141">
        <v>1</v>
      </c>
      <c r="N805" s="141">
        <v>1</v>
      </c>
      <c r="O805" s="211">
        <f t="shared" ref="O805:O826" si="26">M805/(M805+N805)</f>
        <v>0.5</v>
      </c>
      <c r="P805" s="610">
        <v>209.32255000000001</v>
      </c>
      <c r="Q805" s="141">
        <f t="shared" si="25"/>
        <v>104.661275</v>
      </c>
    </row>
    <row r="806" spans="1:17" ht="31.5">
      <c r="A806" s="136" t="s">
        <v>3152</v>
      </c>
      <c r="B806" s="139" t="s">
        <v>3155</v>
      </c>
      <c r="C806" s="138" t="s">
        <v>873</v>
      </c>
      <c r="D806" s="138" t="s">
        <v>811</v>
      </c>
      <c r="E806" s="136" t="s">
        <v>1571</v>
      </c>
      <c r="F806" s="419">
        <v>43100</v>
      </c>
      <c r="G806" s="140">
        <v>321.45321000000001</v>
      </c>
      <c r="H806" s="140">
        <v>2</v>
      </c>
      <c r="I806" s="140">
        <v>0.58130999999999999</v>
      </c>
      <c r="J806" s="140">
        <v>2.4463600000000003</v>
      </c>
      <c r="K806" s="140">
        <v>87.668329999999997</v>
      </c>
      <c r="L806" s="140">
        <v>99.998840000000001</v>
      </c>
      <c r="M806" s="143" t="s">
        <v>189</v>
      </c>
      <c r="N806" s="143" t="s">
        <v>189</v>
      </c>
      <c r="P806" s="608">
        <v>87.668329999999997</v>
      </c>
      <c r="Q806" s="141">
        <f t="shared" si="25"/>
        <v>0</v>
      </c>
    </row>
    <row r="807" spans="1:17" ht="21">
      <c r="A807" s="138" t="s">
        <v>3154</v>
      </c>
      <c r="B807" s="135" t="s">
        <v>3157</v>
      </c>
      <c r="C807" s="136" t="s">
        <v>1420</v>
      </c>
      <c r="D807" s="136" t="s">
        <v>1419</v>
      </c>
      <c r="E807" s="138" t="s">
        <v>1571</v>
      </c>
      <c r="F807" s="420">
        <v>40178</v>
      </c>
      <c r="G807" s="141">
        <v>321.32047000000006</v>
      </c>
      <c r="H807" s="141">
        <v>3</v>
      </c>
      <c r="I807" s="142" t="s">
        <v>189</v>
      </c>
      <c r="J807" s="141">
        <v>-50.485400000000006</v>
      </c>
      <c r="K807" s="141">
        <v>74.154479999999992</v>
      </c>
      <c r="L807" s="141">
        <v>73.330640000000002</v>
      </c>
      <c r="M807" s="142" t="s">
        <v>189</v>
      </c>
      <c r="N807" s="142" t="s">
        <v>189</v>
      </c>
      <c r="P807" s="610">
        <v>74.154479999999992</v>
      </c>
      <c r="Q807" s="141">
        <f t="shared" si="25"/>
        <v>0</v>
      </c>
    </row>
    <row r="808" spans="1:17" ht="42">
      <c r="A808" s="136" t="s">
        <v>3156</v>
      </c>
      <c r="B808" s="137" t="s">
        <v>3159</v>
      </c>
      <c r="C808" s="138" t="s">
        <v>1110</v>
      </c>
      <c r="D808" s="138" t="s">
        <v>969</v>
      </c>
      <c r="E808" s="136" t="s">
        <v>1571</v>
      </c>
      <c r="F808" s="419">
        <v>42369</v>
      </c>
      <c r="G808" s="140">
        <v>321.15941000000004</v>
      </c>
      <c r="H808" s="140">
        <v>4</v>
      </c>
      <c r="I808" s="143" t="s">
        <v>189</v>
      </c>
      <c r="J808" s="140">
        <v>-47.101589999999995</v>
      </c>
      <c r="K808" s="140">
        <v>154.78501</v>
      </c>
      <c r="L808" s="140">
        <v>137.69837000000001</v>
      </c>
      <c r="M808" s="143" t="s">
        <v>189</v>
      </c>
      <c r="N808" s="143" t="s">
        <v>189</v>
      </c>
      <c r="P808" s="608">
        <v>154.78501</v>
      </c>
      <c r="Q808" s="141">
        <f t="shared" si="25"/>
        <v>0</v>
      </c>
    </row>
    <row r="809" spans="1:17">
      <c r="A809" s="138" t="s">
        <v>3158</v>
      </c>
      <c r="B809" s="421" t="s">
        <v>3161</v>
      </c>
      <c r="C809" s="136" t="s">
        <v>1549</v>
      </c>
      <c r="D809" s="136" t="s">
        <v>1279</v>
      </c>
      <c r="E809" s="138" t="s">
        <v>1571</v>
      </c>
      <c r="F809" s="420">
        <v>42004</v>
      </c>
      <c r="G809" s="141">
        <v>319.01082000000002</v>
      </c>
      <c r="H809" s="141">
        <v>4</v>
      </c>
      <c r="I809" s="142" t="s">
        <v>189</v>
      </c>
      <c r="J809" s="141">
        <v>2.5533100000000006</v>
      </c>
      <c r="K809" s="141">
        <v>116.60522999999999</v>
      </c>
      <c r="L809" s="141">
        <v>153.24616900000001</v>
      </c>
      <c r="M809" s="141">
        <v>3.25</v>
      </c>
      <c r="N809" s="141">
        <v>5</v>
      </c>
      <c r="O809" s="211">
        <f t="shared" si="26"/>
        <v>0.39393939393939392</v>
      </c>
      <c r="P809" s="610">
        <v>116.60522999999999</v>
      </c>
      <c r="Q809" s="141">
        <f t="shared" si="25"/>
        <v>45.935393636363628</v>
      </c>
    </row>
    <row r="810" spans="1:17" ht="21">
      <c r="A810" s="136" t="s">
        <v>3160</v>
      </c>
      <c r="B810" s="137" t="s">
        <v>3163</v>
      </c>
      <c r="C810" s="138" t="s">
        <v>1532</v>
      </c>
      <c r="D810" s="138" t="s">
        <v>1279</v>
      </c>
      <c r="E810" s="136" t="s">
        <v>1571</v>
      </c>
      <c r="F810" s="419">
        <v>40908</v>
      </c>
      <c r="G810" s="140">
        <v>316.50246000000004</v>
      </c>
      <c r="H810" s="140">
        <v>2</v>
      </c>
      <c r="I810" s="140"/>
      <c r="J810" s="140">
        <v>-18.361470000000001</v>
      </c>
      <c r="K810" s="140">
        <v>118.51402</v>
      </c>
      <c r="L810" s="140">
        <v>105.80834</v>
      </c>
      <c r="M810" s="143" t="s">
        <v>189</v>
      </c>
      <c r="N810" s="143" t="s">
        <v>189</v>
      </c>
      <c r="P810" s="608">
        <v>118.51402</v>
      </c>
      <c r="Q810" s="141">
        <f t="shared" si="25"/>
        <v>0</v>
      </c>
    </row>
    <row r="811" spans="1:17" ht="21">
      <c r="A811" s="138" t="s">
        <v>3162</v>
      </c>
      <c r="B811" s="135" t="s">
        <v>3165</v>
      </c>
      <c r="C811" s="136" t="s">
        <v>1418</v>
      </c>
      <c r="D811" s="136" t="s">
        <v>1419</v>
      </c>
      <c r="E811" s="138" t="s">
        <v>1571</v>
      </c>
      <c r="F811" s="420">
        <v>43100</v>
      </c>
      <c r="G811" s="141">
        <v>316.17846000000003</v>
      </c>
      <c r="H811" s="141">
        <v>3</v>
      </c>
      <c r="I811" s="142" t="s">
        <v>189</v>
      </c>
      <c r="J811" s="141">
        <v>0.15012</v>
      </c>
      <c r="K811" s="141">
        <v>118.85347</v>
      </c>
      <c r="L811" s="141">
        <v>120.54326900000001</v>
      </c>
      <c r="M811" s="142" t="s">
        <v>189</v>
      </c>
      <c r="N811" s="141">
        <v>9</v>
      </c>
      <c r="P811" s="610">
        <v>118.85347</v>
      </c>
      <c r="Q811" s="141">
        <f t="shared" si="25"/>
        <v>0</v>
      </c>
    </row>
    <row r="812" spans="1:17" ht="31.5">
      <c r="A812" s="136" t="s">
        <v>3164</v>
      </c>
      <c r="B812" s="137" t="s">
        <v>3167</v>
      </c>
      <c r="C812" s="138" t="s">
        <v>680</v>
      </c>
      <c r="D812" s="138" t="s">
        <v>681</v>
      </c>
      <c r="E812" s="136" t="s">
        <v>1571</v>
      </c>
      <c r="F812" s="419">
        <v>43100</v>
      </c>
      <c r="G812" s="140">
        <v>316.0643</v>
      </c>
      <c r="H812" s="140">
        <v>3</v>
      </c>
      <c r="I812" s="140">
        <v>0.56380999999999992</v>
      </c>
      <c r="J812" s="140">
        <v>3.3314300000000006</v>
      </c>
      <c r="K812" s="140">
        <v>63.979469999999999</v>
      </c>
      <c r="L812" s="140">
        <v>68.418139999999994</v>
      </c>
      <c r="M812" s="143" t="s">
        <v>189</v>
      </c>
      <c r="N812" s="143" t="s">
        <v>189</v>
      </c>
      <c r="P812" s="608">
        <v>63.979469999999999</v>
      </c>
      <c r="Q812" s="141">
        <f t="shared" si="25"/>
        <v>0</v>
      </c>
    </row>
    <row r="813" spans="1:17" ht="31.5">
      <c r="A813" s="138" t="s">
        <v>3166</v>
      </c>
      <c r="B813" s="135" t="s">
        <v>3169</v>
      </c>
      <c r="C813" s="136" t="s">
        <v>986</v>
      </c>
      <c r="D813" s="136" t="s">
        <v>975</v>
      </c>
      <c r="E813" s="138" t="s">
        <v>1571</v>
      </c>
      <c r="F813" s="420">
        <v>43100</v>
      </c>
      <c r="G813" s="141">
        <v>316.02902</v>
      </c>
      <c r="H813" s="141">
        <v>4</v>
      </c>
      <c r="I813" s="142" t="s">
        <v>189</v>
      </c>
      <c r="J813" s="141">
        <v>2.7500900000000001</v>
      </c>
      <c r="K813" s="141">
        <v>101.34545999999999</v>
      </c>
      <c r="L813" s="141">
        <v>116.79678</v>
      </c>
      <c r="M813" s="142" t="s">
        <v>189</v>
      </c>
      <c r="N813" s="141">
        <v>1</v>
      </c>
      <c r="P813" s="610">
        <v>101.34545999999999</v>
      </c>
      <c r="Q813" s="141">
        <f t="shared" si="25"/>
        <v>0</v>
      </c>
    </row>
    <row r="814" spans="1:17" ht="42">
      <c r="A814" s="136" t="s">
        <v>3168</v>
      </c>
      <c r="B814" s="137" t="s">
        <v>3171</v>
      </c>
      <c r="C814" s="138" t="s">
        <v>837</v>
      </c>
      <c r="D814" s="138" t="s">
        <v>811</v>
      </c>
      <c r="E814" s="136" t="s">
        <v>1571</v>
      </c>
      <c r="F814" s="419">
        <v>43100</v>
      </c>
      <c r="G814" s="140">
        <v>313.75322000000006</v>
      </c>
      <c r="H814" s="140">
        <v>6</v>
      </c>
      <c r="I814" s="143" t="s">
        <v>189</v>
      </c>
      <c r="J814" s="140">
        <v>1.3485</v>
      </c>
      <c r="K814" s="140">
        <v>107.4342</v>
      </c>
      <c r="L814" s="140">
        <v>109.00078999999999</v>
      </c>
      <c r="M814" s="143" t="s">
        <v>189</v>
      </c>
      <c r="N814" s="143" t="s">
        <v>189</v>
      </c>
      <c r="P814" s="608">
        <v>107.4342</v>
      </c>
      <c r="Q814" s="141">
        <f t="shared" si="25"/>
        <v>0</v>
      </c>
    </row>
    <row r="815" spans="1:17">
      <c r="A815" s="138" t="s">
        <v>3170</v>
      </c>
      <c r="B815" s="421" t="s">
        <v>3173</v>
      </c>
      <c r="C815" s="136" t="s">
        <v>958</v>
      </c>
      <c r="D815" s="136" t="s">
        <v>811</v>
      </c>
      <c r="E815" s="138" t="s">
        <v>1571</v>
      </c>
      <c r="F815" s="420">
        <v>43100</v>
      </c>
      <c r="G815" s="141">
        <v>312.83595000000003</v>
      </c>
      <c r="H815" s="141">
        <v>2</v>
      </c>
      <c r="I815" s="141">
        <v>1.0062200000000001</v>
      </c>
      <c r="J815" s="141">
        <v>3.6560600000000001</v>
      </c>
      <c r="K815" s="141">
        <v>42.247279999999996</v>
      </c>
      <c r="L815" s="141">
        <v>49.859029999999997</v>
      </c>
      <c r="M815" s="142" t="s">
        <v>189</v>
      </c>
      <c r="N815" s="141">
        <v>2</v>
      </c>
      <c r="P815" s="610">
        <v>42.247279999999996</v>
      </c>
      <c r="Q815" s="141">
        <f t="shared" si="25"/>
        <v>0</v>
      </c>
    </row>
    <row r="816" spans="1:17" ht="21">
      <c r="A816" s="136" t="s">
        <v>3172</v>
      </c>
      <c r="B816" s="137" t="s">
        <v>3175</v>
      </c>
      <c r="C816" s="138" t="s">
        <v>916</v>
      </c>
      <c r="D816" s="138" t="s">
        <v>811</v>
      </c>
      <c r="E816" s="136" t="s">
        <v>1571</v>
      </c>
      <c r="F816" s="419">
        <v>42004</v>
      </c>
      <c r="G816" s="140">
        <v>310.23651900000004</v>
      </c>
      <c r="H816" s="140">
        <v>9</v>
      </c>
      <c r="I816" s="140">
        <v>3.9088100000000003</v>
      </c>
      <c r="J816" s="140">
        <v>0.59490999999999994</v>
      </c>
      <c r="K816" s="140">
        <v>194.85429999999999</v>
      </c>
      <c r="L816" s="140">
        <v>202.31467900000001</v>
      </c>
      <c r="M816" s="140">
        <v>2</v>
      </c>
      <c r="N816" s="143" t="s">
        <v>189</v>
      </c>
      <c r="P816" s="608">
        <v>194.85429999999999</v>
      </c>
      <c r="Q816" s="141">
        <f t="shared" si="25"/>
        <v>0</v>
      </c>
    </row>
    <row r="817" spans="1:17" ht="42">
      <c r="A817" s="138" t="s">
        <v>3174</v>
      </c>
      <c r="B817" s="135" t="s">
        <v>3177</v>
      </c>
      <c r="C817" s="136" t="s">
        <v>1445</v>
      </c>
      <c r="D817" s="136" t="s">
        <v>1429</v>
      </c>
      <c r="E817" s="138" t="s">
        <v>1571</v>
      </c>
      <c r="F817" s="420">
        <v>37621</v>
      </c>
      <c r="G817" s="141">
        <v>308.01994999999999</v>
      </c>
      <c r="H817" s="141">
        <v>5</v>
      </c>
      <c r="I817" s="142" t="s">
        <v>189</v>
      </c>
      <c r="J817" s="141">
        <v>-0.79142999999999997</v>
      </c>
      <c r="K817" s="141">
        <v>68.176180000000002</v>
      </c>
      <c r="L817" s="141">
        <v>69.22175</v>
      </c>
      <c r="M817" s="142" t="s">
        <v>189</v>
      </c>
      <c r="N817" s="142" t="s">
        <v>189</v>
      </c>
      <c r="P817" s="610">
        <v>68.176180000000002</v>
      </c>
      <c r="Q817" s="141">
        <f t="shared" si="25"/>
        <v>0</v>
      </c>
    </row>
    <row r="818" spans="1:17">
      <c r="A818" s="136" t="s">
        <v>3176</v>
      </c>
      <c r="B818" s="137" t="s">
        <v>3179</v>
      </c>
      <c r="C818" s="138" t="s">
        <v>1453</v>
      </c>
      <c r="D818" s="138" t="s">
        <v>1456</v>
      </c>
      <c r="E818" s="136" t="s">
        <v>1571</v>
      </c>
      <c r="F818" s="419">
        <v>43100</v>
      </c>
      <c r="G818" s="140">
        <v>307.70514900000001</v>
      </c>
      <c r="H818" s="140">
        <v>9</v>
      </c>
      <c r="I818" s="140">
        <v>5.2359</v>
      </c>
      <c r="J818" s="140">
        <v>16.580367000000003</v>
      </c>
      <c r="K818" s="140">
        <v>235.68312</v>
      </c>
      <c r="L818" s="140">
        <v>263.71187699999996</v>
      </c>
      <c r="M818" s="143" t="s">
        <v>189</v>
      </c>
      <c r="N818" s="143" t="s">
        <v>189</v>
      </c>
      <c r="P818" s="608">
        <v>235.68312</v>
      </c>
      <c r="Q818" s="141">
        <f t="shared" si="25"/>
        <v>0</v>
      </c>
    </row>
    <row r="819" spans="1:17" ht="52.5">
      <c r="A819" s="138" t="s">
        <v>3178</v>
      </c>
      <c r="B819" s="135" t="s">
        <v>3181</v>
      </c>
      <c r="C819" s="136" t="s">
        <v>1472</v>
      </c>
      <c r="D819" s="136" t="s">
        <v>1461</v>
      </c>
      <c r="E819" s="138" t="s">
        <v>1571</v>
      </c>
      <c r="F819" s="420">
        <v>43100</v>
      </c>
      <c r="G819" s="141">
        <v>307.24264999999997</v>
      </c>
      <c r="H819" s="141">
        <v>3</v>
      </c>
      <c r="I819" s="141">
        <v>18.84224</v>
      </c>
      <c r="J819" s="141">
        <v>59.478659999999998</v>
      </c>
      <c r="K819" s="141">
        <v>104.22103</v>
      </c>
      <c r="L819" s="141">
        <v>252.955949</v>
      </c>
      <c r="M819" s="142" t="s">
        <v>189</v>
      </c>
      <c r="N819" s="142" t="s">
        <v>189</v>
      </c>
      <c r="P819" s="610">
        <v>104.22103</v>
      </c>
      <c r="Q819" s="141">
        <f t="shared" si="25"/>
        <v>0</v>
      </c>
    </row>
    <row r="820" spans="1:17" ht="31.5">
      <c r="A820" s="136" t="s">
        <v>3180</v>
      </c>
      <c r="B820" s="137" t="s">
        <v>3183</v>
      </c>
      <c r="C820" s="138" t="s">
        <v>638</v>
      </c>
      <c r="D820" s="138" t="s">
        <v>1972</v>
      </c>
      <c r="E820" s="136" t="s">
        <v>1571</v>
      </c>
      <c r="F820" s="419">
        <v>43100</v>
      </c>
      <c r="G820" s="140">
        <v>305.0308</v>
      </c>
      <c r="H820" s="140">
        <v>1</v>
      </c>
      <c r="I820" s="143" t="s">
        <v>189</v>
      </c>
      <c r="J820" s="140">
        <v>-64.165289999999999</v>
      </c>
      <c r="K820" s="140">
        <v>59.093000000000004</v>
      </c>
      <c r="L820" s="140">
        <v>-0.12684000000000001</v>
      </c>
      <c r="M820" s="143" t="s">
        <v>189</v>
      </c>
      <c r="N820" s="143" t="s">
        <v>189</v>
      </c>
      <c r="P820" s="608">
        <v>59.093000000000004</v>
      </c>
      <c r="Q820" s="141">
        <f t="shared" si="25"/>
        <v>0</v>
      </c>
    </row>
    <row r="821" spans="1:17" ht="42">
      <c r="A821" s="138" t="s">
        <v>3182</v>
      </c>
      <c r="B821" s="135" t="s">
        <v>3185</v>
      </c>
      <c r="C821" s="136" t="s">
        <v>1427</v>
      </c>
      <c r="D821" s="136" t="s">
        <v>1419</v>
      </c>
      <c r="E821" s="138" t="s">
        <v>1571</v>
      </c>
      <c r="F821" s="420">
        <v>43100</v>
      </c>
      <c r="G821" s="141">
        <v>298.20308</v>
      </c>
      <c r="H821" s="141">
        <v>4</v>
      </c>
      <c r="I821" s="141">
        <v>2.1515599999999999</v>
      </c>
      <c r="J821" s="141">
        <v>9.0544799999999999</v>
      </c>
      <c r="K821" s="141">
        <v>71.413899999999998</v>
      </c>
      <c r="L821" s="141">
        <v>85.416139000000015</v>
      </c>
      <c r="M821" s="142" t="s">
        <v>189</v>
      </c>
      <c r="N821" s="142" t="s">
        <v>189</v>
      </c>
      <c r="P821" s="610">
        <v>71.413899999999998</v>
      </c>
      <c r="Q821" s="141">
        <f t="shared" si="25"/>
        <v>0</v>
      </c>
    </row>
    <row r="822" spans="1:17" ht="21">
      <c r="A822" s="136" t="s">
        <v>3184</v>
      </c>
      <c r="B822" s="137" t="s">
        <v>3187</v>
      </c>
      <c r="C822" s="138" t="s">
        <v>1151</v>
      </c>
      <c r="D822" s="138" t="s">
        <v>1145</v>
      </c>
      <c r="E822" s="136" t="s">
        <v>1571</v>
      </c>
      <c r="F822" s="419">
        <v>43100</v>
      </c>
      <c r="G822" s="140">
        <v>297.83411999999998</v>
      </c>
      <c r="H822" s="140">
        <v>6</v>
      </c>
      <c r="I822" s="140"/>
      <c r="J822" s="140">
        <v>-5.6098100000000004</v>
      </c>
      <c r="K822" s="140">
        <v>133.800579</v>
      </c>
      <c r="L822" s="140">
        <v>135.991219</v>
      </c>
      <c r="M822" s="143" t="s">
        <v>189</v>
      </c>
      <c r="N822" s="143" t="s">
        <v>189</v>
      </c>
      <c r="P822" s="608">
        <v>133.800579</v>
      </c>
      <c r="Q822" s="141">
        <f t="shared" si="25"/>
        <v>0</v>
      </c>
    </row>
    <row r="823" spans="1:17" ht="31.5">
      <c r="A823" s="138" t="s">
        <v>3186</v>
      </c>
      <c r="B823" s="135" t="s">
        <v>3189</v>
      </c>
      <c r="C823" s="136" t="s">
        <v>1043</v>
      </c>
      <c r="D823" s="136" t="s">
        <v>971</v>
      </c>
      <c r="E823" s="138" t="s">
        <v>1571</v>
      </c>
      <c r="F823" s="420">
        <v>43100</v>
      </c>
      <c r="G823" s="141">
        <v>295.11075</v>
      </c>
      <c r="H823" s="141">
        <v>2</v>
      </c>
      <c r="I823" s="141">
        <v>0.18653999999999998</v>
      </c>
      <c r="J823" s="141">
        <v>7.4047200000000002</v>
      </c>
      <c r="K823" s="141">
        <v>49.891040000000004</v>
      </c>
      <c r="L823" s="141">
        <v>58.670659999999998</v>
      </c>
      <c r="M823" s="142" t="s">
        <v>189</v>
      </c>
      <c r="N823" s="142" t="s">
        <v>189</v>
      </c>
      <c r="P823" s="610">
        <v>49.891040000000004</v>
      </c>
      <c r="Q823" s="141">
        <f t="shared" si="25"/>
        <v>0</v>
      </c>
    </row>
    <row r="824" spans="1:17" ht="21">
      <c r="A824" s="136" t="s">
        <v>3188</v>
      </c>
      <c r="B824" s="137" t="s">
        <v>3191</v>
      </c>
      <c r="C824" s="138" t="s">
        <v>1076</v>
      </c>
      <c r="D824" s="138" t="s">
        <v>969</v>
      </c>
      <c r="E824" s="136" t="s">
        <v>1571</v>
      </c>
      <c r="F824" s="419">
        <v>43100</v>
      </c>
      <c r="G824" s="140">
        <v>294.34793000000008</v>
      </c>
      <c r="H824" s="140">
        <v>2</v>
      </c>
      <c r="I824" s="140"/>
      <c r="J824" s="140">
        <v>-9.6285000000000007</v>
      </c>
      <c r="K824" s="140">
        <v>68.701870000000014</v>
      </c>
      <c r="L824" s="140">
        <v>73.707768999999999</v>
      </c>
      <c r="M824" s="140">
        <v>1</v>
      </c>
      <c r="N824" s="140">
        <v>2</v>
      </c>
      <c r="O824" s="211">
        <f t="shared" si="26"/>
        <v>0.33333333333333331</v>
      </c>
      <c r="P824" s="608">
        <v>68.701870000000014</v>
      </c>
      <c r="Q824" s="141">
        <f t="shared" si="25"/>
        <v>22.900623333333336</v>
      </c>
    </row>
    <row r="825" spans="1:17" ht="31.5">
      <c r="A825" s="138" t="s">
        <v>3190</v>
      </c>
      <c r="B825" s="135" t="s">
        <v>3193</v>
      </c>
      <c r="C825" s="136" t="s">
        <v>947</v>
      </c>
      <c r="D825" s="136" t="s">
        <v>811</v>
      </c>
      <c r="E825" s="138" t="s">
        <v>1571</v>
      </c>
      <c r="F825" s="420">
        <v>43100</v>
      </c>
      <c r="G825" s="141">
        <v>289.88242000000002</v>
      </c>
      <c r="H825" s="141">
        <v>4</v>
      </c>
      <c r="I825" s="141">
        <v>2.3058900000000002</v>
      </c>
      <c r="J825" s="141">
        <v>3.7156400000000001</v>
      </c>
      <c r="K825" s="141">
        <v>147.14847</v>
      </c>
      <c r="L825" s="141">
        <v>166.33059</v>
      </c>
      <c r="M825" s="142" t="s">
        <v>189</v>
      </c>
      <c r="N825" s="142" t="s">
        <v>189</v>
      </c>
      <c r="P825" s="610">
        <v>147.14847</v>
      </c>
      <c r="Q825" s="141">
        <f t="shared" si="25"/>
        <v>0</v>
      </c>
    </row>
    <row r="826" spans="1:17" ht="21">
      <c r="A826" s="136" t="s">
        <v>3192</v>
      </c>
      <c r="B826" s="137" t="s">
        <v>3195</v>
      </c>
      <c r="C826" s="138" t="s">
        <v>608</v>
      </c>
      <c r="D826" s="138" t="s">
        <v>596</v>
      </c>
      <c r="E826" s="136" t="s">
        <v>1571</v>
      </c>
      <c r="F826" s="419">
        <v>43100</v>
      </c>
      <c r="G826" s="140">
        <v>285.85840000000002</v>
      </c>
      <c r="H826" s="140">
        <v>7</v>
      </c>
      <c r="I826" s="143" t="s">
        <v>189</v>
      </c>
      <c r="J826" s="140">
        <v>-7.5078500000000004</v>
      </c>
      <c r="K826" s="140">
        <v>207.21899999999999</v>
      </c>
      <c r="L826" s="140">
        <v>205.17246</v>
      </c>
      <c r="M826" s="140">
        <v>1</v>
      </c>
      <c r="N826" s="140">
        <v>3</v>
      </c>
      <c r="O826" s="211">
        <f t="shared" si="26"/>
        <v>0.25</v>
      </c>
      <c r="P826" s="608">
        <v>207.21899999999999</v>
      </c>
      <c r="Q826" s="141">
        <f t="shared" si="25"/>
        <v>51.804749999999999</v>
      </c>
    </row>
    <row r="827" spans="1:17">
      <c r="A827" s="138" t="s">
        <v>3194</v>
      </c>
      <c r="B827" s="135" t="s">
        <v>3197</v>
      </c>
      <c r="C827" s="136" t="s">
        <v>636</v>
      </c>
      <c r="D827" s="136" t="s">
        <v>1972</v>
      </c>
      <c r="E827" s="138" t="s">
        <v>1571</v>
      </c>
      <c r="F827" s="420">
        <v>43100</v>
      </c>
      <c r="G827" s="141">
        <v>280.15267999999998</v>
      </c>
      <c r="H827" s="141">
        <v>4</v>
      </c>
      <c r="I827" s="141">
        <v>1.7036699999999998</v>
      </c>
      <c r="J827" s="141">
        <v>41.834830000000004</v>
      </c>
      <c r="K827" s="141">
        <v>127.48245999999999</v>
      </c>
      <c r="L827" s="141">
        <v>202.12460000000002</v>
      </c>
      <c r="M827" s="142" t="s">
        <v>189</v>
      </c>
      <c r="N827" s="142" t="s">
        <v>189</v>
      </c>
      <c r="P827" s="610">
        <v>127.48245999999999</v>
      </c>
      <c r="Q827" s="141">
        <f t="shared" si="25"/>
        <v>0</v>
      </c>
    </row>
    <row r="828" spans="1:17" ht="21">
      <c r="A828" s="136" t="s">
        <v>3196</v>
      </c>
      <c r="B828" s="137" t="s">
        <v>3199</v>
      </c>
      <c r="C828" s="138" t="s">
        <v>643</v>
      </c>
      <c r="D828" s="138" t="s">
        <v>811</v>
      </c>
      <c r="E828" s="136" t="s">
        <v>1571</v>
      </c>
      <c r="F828" s="419">
        <v>43100</v>
      </c>
      <c r="G828" s="140">
        <v>278.73439000000002</v>
      </c>
      <c r="H828" s="140">
        <v>3</v>
      </c>
      <c r="I828" s="140">
        <v>2.8066</v>
      </c>
      <c r="J828" s="140">
        <v>23.771060000000002</v>
      </c>
      <c r="K828" s="140">
        <v>69.581299999999999</v>
      </c>
      <c r="L828" s="140">
        <v>98.054370000000006</v>
      </c>
      <c r="M828" s="143" t="s">
        <v>189</v>
      </c>
      <c r="N828" s="140">
        <v>1</v>
      </c>
      <c r="P828" s="608">
        <v>69.581299999999999</v>
      </c>
      <c r="Q828" s="141">
        <f t="shared" si="25"/>
        <v>0</v>
      </c>
    </row>
    <row r="829" spans="1:17" ht="21">
      <c r="A829" s="138" t="s">
        <v>3198</v>
      </c>
      <c r="B829" s="135" t="s">
        <v>3201</v>
      </c>
      <c r="C829" s="136" t="s">
        <v>1211</v>
      </c>
      <c r="D829" s="136" t="s">
        <v>1208</v>
      </c>
      <c r="E829" s="138" t="s">
        <v>1571</v>
      </c>
      <c r="F829" s="420">
        <v>43100</v>
      </c>
      <c r="G829" s="141">
        <v>278.41343000000006</v>
      </c>
      <c r="H829" s="141">
        <v>1</v>
      </c>
      <c r="I829" s="142" t="s">
        <v>189</v>
      </c>
      <c r="J829" s="141">
        <v>0.10046000000000001</v>
      </c>
      <c r="K829" s="141">
        <v>48.025910000000003</v>
      </c>
      <c r="L829" s="141">
        <v>56.335270000000001</v>
      </c>
      <c r="M829" s="142" t="s">
        <v>189</v>
      </c>
      <c r="N829" s="142" t="s">
        <v>189</v>
      </c>
      <c r="P829" s="610">
        <v>48.025910000000003</v>
      </c>
      <c r="Q829" s="141">
        <f t="shared" si="25"/>
        <v>0</v>
      </c>
    </row>
    <row r="830" spans="1:17" ht="21">
      <c r="A830" s="136" t="s">
        <v>3200</v>
      </c>
      <c r="B830" s="137" t="s">
        <v>3203</v>
      </c>
      <c r="C830" s="138" t="s">
        <v>651</v>
      </c>
      <c r="D830" s="138" t="s">
        <v>673</v>
      </c>
      <c r="E830" s="136" t="s">
        <v>1571</v>
      </c>
      <c r="F830" s="419">
        <v>43100</v>
      </c>
      <c r="G830" s="140">
        <v>276.92696000000001</v>
      </c>
      <c r="H830" s="140">
        <v>2</v>
      </c>
      <c r="I830" s="143" t="s">
        <v>189</v>
      </c>
      <c r="J830" s="140">
        <v>-33.429499999999997</v>
      </c>
      <c r="K830" s="140">
        <v>77.992709999999988</v>
      </c>
      <c r="L830" s="140">
        <v>53.700670000000002</v>
      </c>
      <c r="M830" s="143" t="s">
        <v>189</v>
      </c>
      <c r="N830" s="143" t="s">
        <v>189</v>
      </c>
      <c r="P830" s="608">
        <v>77.992709999999988</v>
      </c>
      <c r="Q830" s="141">
        <f t="shared" si="25"/>
        <v>0</v>
      </c>
    </row>
    <row r="831" spans="1:17">
      <c r="A831" s="138" t="s">
        <v>3202</v>
      </c>
      <c r="B831" s="135" t="s">
        <v>3205</v>
      </c>
      <c r="C831" s="136" t="s">
        <v>1539</v>
      </c>
      <c r="D831" s="136" t="s">
        <v>1279</v>
      </c>
      <c r="E831" s="138" t="s">
        <v>1571</v>
      </c>
      <c r="F831" s="420">
        <v>42369</v>
      </c>
      <c r="G831" s="141">
        <v>276.10266999999999</v>
      </c>
      <c r="H831" s="141">
        <v>3</v>
      </c>
      <c r="I831" s="142" t="s">
        <v>189</v>
      </c>
      <c r="J831" s="141">
        <v>18.399450000000002</v>
      </c>
      <c r="K831" s="141">
        <v>112.36361000000001</v>
      </c>
      <c r="L831" s="141">
        <v>144.49355</v>
      </c>
      <c r="M831" s="142" t="s">
        <v>189</v>
      </c>
      <c r="N831" s="142" t="s">
        <v>189</v>
      </c>
      <c r="P831" s="610">
        <v>112.36361000000001</v>
      </c>
      <c r="Q831" s="141">
        <f t="shared" si="25"/>
        <v>0</v>
      </c>
    </row>
    <row r="832" spans="1:17" ht="21">
      <c r="A832" s="136" t="s">
        <v>3204</v>
      </c>
      <c r="B832" s="137" t="s">
        <v>3207</v>
      </c>
      <c r="C832" s="138" t="s">
        <v>1552</v>
      </c>
      <c r="D832" s="138" t="s">
        <v>1279</v>
      </c>
      <c r="E832" s="136" t="s">
        <v>1571</v>
      </c>
      <c r="F832" s="419">
        <v>43100</v>
      </c>
      <c r="G832" s="140">
        <v>272.43477000000001</v>
      </c>
      <c r="H832" s="140">
        <v>4</v>
      </c>
      <c r="I832" s="140"/>
      <c r="J832" s="140">
        <v>6.7933100000000008</v>
      </c>
      <c r="K832" s="140">
        <v>120.37326</v>
      </c>
      <c r="L832" s="140">
        <v>132.661509</v>
      </c>
      <c r="M832" s="143" t="s">
        <v>189</v>
      </c>
      <c r="N832" s="143" t="s">
        <v>189</v>
      </c>
      <c r="P832" s="608">
        <v>120.37326</v>
      </c>
      <c r="Q832" s="141">
        <f t="shared" si="25"/>
        <v>0</v>
      </c>
    </row>
    <row r="833" spans="1:17" ht="52.5">
      <c r="A833" s="138" t="s">
        <v>3206</v>
      </c>
      <c r="B833" s="135" t="s">
        <v>3209</v>
      </c>
      <c r="C833" s="136" t="s">
        <v>860</v>
      </c>
      <c r="D833" s="136" t="s">
        <v>811</v>
      </c>
      <c r="E833" s="138" t="s">
        <v>1571</v>
      </c>
      <c r="F833" s="420">
        <v>42735</v>
      </c>
      <c r="G833" s="141">
        <v>270.90962000000002</v>
      </c>
      <c r="H833" s="141">
        <v>3</v>
      </c>
      <c r="I833" s="141">
        <v>28.449210000000001</v>
      </c>
      <c r="J833" s="141">
        <v>184.34634999999997</v>
      </c>
      <c r="K833" s="141">
        <v>112.55764000000001</v>
      </c>
      <c r="L833" s="141">
        <v>340.62613999999996</v>
      </c>
      <c r="M833" s="142" t="s">
        <v>189</v>
      </c>
      <c r="N833" s="142" t="s">
        <v>189</v>
      </c>
      <c r="P833" s="610">
        <v>112.55764000000001</v>
      </c>
      <c r="Q833" s="141">
        <f t="shared" si="25"/>
        <v>0</v>
      </c>
    </row>
    <row r="834" spans="1:17" ht="52.5">
      <c r="A834" s="136" t="s">
        <v>3208</v>
      </c>
      <c r="B834" s="137" t="s">
        <v>3211</v>
      </c>
      <c r="C834" s="138" t="s">
        <v>1243</v>
      </c>
      <c r="D834" s="138" t="s">
        <v>1235</v>
      </c>
      <c r="E834" s="136" t="s">
        <v>1571</v>
      </c>
      <c r="F834" s="419">
        <v>43100</v>
      </c>
      <c r="G834" s="140">
        <v>270.51206999999999</v>
      </c>
      <c r="H834" s="140">
        <v>2</v>
      </c>
      <c r="I834" s="143" t="s">
        <v>189</v>
      </c>
      <c r="J834" s="140">
        <v>50.127589999999998</v>
      </c>
      <c r="K834" s="140">
        <v>96.864439999999988</v>
      </c>
      <c r="L834" s="140">
        <v>150.63487000000001</v>
      </c>
      <c r="M834" s="143" t="s">
        <v>189</v>
      </c>
      <c r="N834" s="143" t="s">
        <v>189</v>
      </c>
      <c r="P834" s="608">
        <v>96.864439999999988</v>
      </c>
      <c r="Q834" s="141">
        <f t="shared" si="25"/>
        <v>0</v>
      </c>
    </row>
    <row r="835" spans="1:17" ht="31.5">
      <c r="A835" s="138" t="s">
        <v>3210</v>
      </c>
      <c r="B835" s="421" t="s">
        <v>3213</v>
      </c>
      <c r="C835" s="136" t="s">
        <v>1002</v>
      </c>
      <c r="D835" s="136" t="s">
        <v>975</v>
      </c>
      <c r="E835" s="138" t="s">
        <v>1571</v>
      </c>
      <c r="F835" s="420">
        <v>43100</v>
      </c>
      <c r="G835" s="141">
        <v>267.11563000000001</v>
      </c>
      <c r="H835" s="141">
        <v>3</v>
      </c>
      <c r="I835" s="141">
        <v>0.71682999999999997</v>
      </c>
      <c r="J835" s="141">
        <v>0.86187000000000002</v>
      </c>
      <c r="K835" s="141">
        <v>117.91051</v>
      </c>
      <c r="L835" s="141">
        <v>123.380409</v>
      </c>
      <c r="M835" s="142" t="s">
        <v>189</v>
      </c>
      <c r="N835" s="142" t="s">
        <v>189</v>
      </c>
      <c r="P835" s="610">
        <v>117.91051</v>
      </c>
      <c r="Q835" s="141">
        <f t="shared" si="25"/>
        <v>0</v>
      </c>
    </row>
    <row r="836" spans="1:17" ht="31.5">
      <c r="A836" s="136" t="s">
        <v>3212</v>
      </c>
      <c r="B836" s="137" t="s">
        <v>3215</v>
      </c>
      <c r="C836" s="138" t="s">
        <v>1545</v>
      </c>
      <c r="D836" s="138" t="s">
        <v>1279</v>
      </c>
      <c r="E836" s="136" t="s">
        <v>1571</v>
      </c>
      <c r="F836" s="419">
        <v>43100</v>
      </c>
      <c r="G836" s="140">
        <v>261.69626</v>
      </c>
      <c r="H836" s="140">
        <v>1</v>
      </c>
      <c r="I836" s="140"/>
      <c r="J836" s="140">
        <v>106.93064</v>
      </c>
      <c r="K836" s="140">
        <v>63.366630000000001</v>
      </c>
      <c r="L836" s="140">
        <v>39.278879000000003</v>
      </c>
      <c r="M836" s="143" t="s">
        <v>189</v>
      </c>
      <c r="N836" s="143" t="s">
        <v>189</v>
      </c>
      <c r="P836" s="608">
        <v>63.366630000000001</v>
      </c>
      <c r="Q836" s="141">
        <f t="shared" si="25"/>
        <v>0</v>
      </c>
    </row>
    <row r="837" spans="1:17" ht="52.5">
      <c r="A837" s="138" t="s">
        <v>3214</v>
      </c>
      <c r="B837" s="135" t="s">
        <v>3217</v>
      </c>
      <c r="C837" s="136" t="s">
        <v>1213</v>
      </c>
      <c r="D837" s="136" t="s">
        <v>1215</v>
      </c>
      <c r="E837" s="138" t="s">
        <v>1571</v>
      </c>
      <c r="F837" s="420">
        <v>43100</v>
      </c>
      <c r="G837" s="141">
        <v>259.15262999999999</v>
      </c>
      <c r="H837" s="141">
        <v>2</v>
      </c>
      <c r="I837" s="142" t="s">
        <v>189</v>
      </c>
      <c r="J837" s="141">
        <v>-35.623619999999995</v>
      </c>
      <c r="K837" s="141">
        <v>85.308790000000002</v>
      </c>
      <c r="L837" s="141">
        <v>51.934159000000001</v>
      </c>
      <c r="M837" s="142" t="s">
        <v>189</v>
      </c>
      <c r="N837" s="142" t="s">
        <v>189</v>
      </c>
      <c r="P837" s="610">
        <v>85.308790000000002</v>
      </c>
      <c r="Q837" s="141">
        <f t="shared" si="25"/>
        <v>0</v>
      </c>
    </row>
    <row r="838" spans="1:17" ht="21">
      <c r="A838" s="136" t="s">
        <v>3216</v>
      </c>
      <c r="B838" s="137" t="s">
        <v>3219</v>
      </c>
      <c r="C838" s="138" t="s">
        <v>1318</v>
      </c>
      <c r="D838" s="138" t="s">
        <v>1316</v>
      </c>
      <c r="E838" s="136" t="s">
        <v>1571</v>
      </c>
      <c r="F838" s="419">
        <v>43100</v>
      </c>
      <c r="G838" s="140">
        <v>257.83008999999998</v>
      </c>
      <c r="H838" s="140">
        <v>2</v>
      </c>
      <c r="I838" s="140"/>
      <c r="J838" s="140">
        <v>-1.8271199999999999</v>
      </c>
      <c r="K838" s="140">
        <v>47.79636</v>
      </c>
      <c r="L838" s="140">
        <v>47.306820000000002</v>
      </c>
      <c r="M838" s="143" t="s">
        <v>189</v>
      </c>
      <c r="N838" s="143" t="s">
        <v>189</v>
      </c>
      <c r="P838" s="608">
        <v>47.79636</v>
      </c>
      <c r="Q838" s="141">
        <f t="shared" si="25"/>
        <v>0</v>
      </c>
    </row>
    <row r="839" spans="1:17" ht="21">
      <c r="A839" s="138" t="s">
        <v>3218</v>
      </c>
      <c r="B839" s="135" t="s">
        <v>3221</v>
      </c>
      <c r="C839" s="136" t="s">
        <v>915</v>
      </c>
      <c r="D839" s="136" t="s">
        <v>811</v>
      </c>
      <c r="E839" s="138" t="s">
        <v>1571</v>
      </c>
      <c r="F839" s="420">
        <v>43100</v>
      </c>
      <c r="G839" s="141">
        <v>253.36668</v>
      </c>
      <c r="H839" s="141">
        <v>3</v>
      </c>
      <c r="I839" s="142" t="s">
        <v>189</v>
      </c>
      <c r="J839" s="141">
        <v>-16.43657</v>
      </c>
      <c r="K839" s="141">
        <v>138.37829000000002</v>
      </c>
      <c r="L839" s="141">
        <v>122.13766000000001</v>
      </c>
      <c r="M839" s="142" t="s">
        <v>189</v>
      </c>
      <c r="N839" s="141">
        <v>3</v>
      </c>
      <c r="P839" s="610">
        <v>138.37829000000002</v>
      </c>
      <c r="Q839" s="141">
        <f t="shared" si="25"/>
        <v>0</v>
      </c>
    </row>
    <row r="840" spans="1:17" ht="42">
      <c r="A840" s="136" t="s">
        <v>3220</v>
      </c>
      <c r="B840" s="139" t="s">
        <v>3223</v>
      </c>
      <c r="C840" s="138" t="s">
        <v>1104</v>
      </c>
      <c r="D840" s="138" t="s">
        <v>1461</v>
      </c>
      <c r="E840" s="136" t="s">
        <v>1571</v>
      </c>
      <c r="F840" s="419">
        <v>43100</v>
      </c>
      <c r="G840" s="140">
        <v>251.77814000000001</v>
      </c>
      <c r="H840" s="140">
        <v>3</v>
      </c>
      <c r="I840" s="143" t="s">
        <v>189</v>
      </c>
      <c r="J840" s="140">
        <v>1.02504</v>
      </c>
      <c r="K840" s="140">
        <v>67.74260000000001</v>
      </c>
      <c r="L840" s="140">
        <v>68.829750000000004</v>
      </c>
      <c r="M840" s="143" t="s">
        <v>189</v>
      </c>
      <c r="N840" s="143" t="s">
        <v>189</v>
      </c>
      <c r="P840" s="608">
        <v>67.74260000000001</v>
      </c>
      <c r="Q840" s="141">
        <f t="shared" si="25"/>
        <v>0</v>
      </c>
    </row>
    <row r="841" spans="1:17" ht="31.5">
      <c r="A841" s="138" t="s">
        <v>3222</v>
      </c>
      <c r="B841" s="135" t="s">
        <v>3225</v>
      </c>
      <c r="C841" s="136" t="s">
        <v>1061</v>
      </c>
      <c r="D841" s="136" t="s">
        <v>971</v>
      </c>
      <c r="E841" s="138" t="s">
        <v>1571</v>
      </c>
      <c r="F841" s="420">
        <v>43100</v>
      </c>
      <c r="G841" s="141">
        <v>246.36151000000001</v>
      </c>
      <c r="H841" s="141">
        <v>1</v>
      </c>
      <c r="I841" s="142" t="s">
        <v>189</v>
      </c>
      <c r="J841" s="141">
        <v>-20.443099999999998</v>
      </c>
      <c r="K841" s="141">
        <v>119.95502</v>
      </c>
      <c r="L841" s="141">
        <v>107.30383</v>
      </c>
      <c r="M841" s="142" t="s">
        <v>189</v>
      </c>
      <c r="N841" s="142" t="s">
        <v>189</v>
      </c>
      <c r="P841" s="610">
        <v>119.95502</v>
      </c>
      <c r="Q841" s="141">
        <f t="shared" si="25"/>
        <v>0</v>
      </c>
    </row>
    <row r="842" spans="1:17">
      <c r="A842" s="136" t="s">
        <v>3224</v>
      </c>
      <c r="B842" s="137" t="s">
        <v>3227</v>
      </c>
      <c r="C842" s="138" t="s">
        <v>1166</v>
      </c>
      <c r="D842" s="138" t="s">
        <v>1156</v>
      </c>
      <c r="E842" s="136" t="s">
        <v>1571</v>
      </c>
      <c r="F842" s="419">
        <v>43100</v>
      </c>
      <c r="G842" s="140">
        <v>245.89142999999999</v>
      </c>
      <c r="H842" s="140">
        <v>2</v>
      </c>
      <c r="I842" s="140">
        <v>3.4218200000000003</v>
      </c>
      <c r="J842" s="140">
        <v>14.40015</v>
      </c>
      <c r="K842" s="140">
        <v>115.19564</v>
      </c>
      <c r="L842" s="140">
        <v>138.557659</v>
      </c>
      <c r="M842" s="143" t="s">
        <v>189</v>
      </c>
      <c r="N842" s="143" t="s">
        <v>189</v>
      </c>
      <c r="P842" s="608">
        <v>115.19564</v>
      </c>
      <c r="Q842" s="141">
        <f t="shared" si="25"/>
        <v>0</v>
      </c>
    </row>
    <row r="843" spans="1:17" ht="31.5">
      <c r="A843" s="138" t="s">
        <v>3226</v>
      </c>
      <c r="B843" s="135" t="s">
        <v>3229</v>
      </c>
      <c r="C843" s="136" t="s">
        <v>1516</v>
      </c>
      <c r="D843" s="136" t="s">
        <v>1501</v>
      </c>
      <c r="E843" s="138" t="s">
        <v>1571</v>
      </c>
      <c r="F843" s="420">
        <v>42947</v>
      </c>
      <c r="G843" s="141">
        <v>245.56709000000001</v>
      </c>
      <c r="H843" s="141">
        <v>2</v>
      </c>
      <c r="I843" s="141"/>
      <c r="J843" s="141">
        <v>42.925150000000002</v>
      </c>
      <c r="K843" s="141">
        <v>83.077709999999996</v>
      </c>
      <c r="L843" s="141">
        <v>131.44020900000001</v>
      </c>
      <c r="M843" s="142" t="s">
        <v>189</v>
      </c>
      <c r="N843" s="142" t="s">
        <v>189</v>
      </c>
      <c r="P843" s="610">
        <v>83.077709999999996</v>
      </c>
      <c r="Q843" s="141">
        <f t="shared" si="25"/>
        <v>0</v>
      </c>
    </row>
    <row r="844" spans="1:17" ht="31.5">
      <c r="A844" s="136" t="s">
        <v>3228</v>
      </c>
      <c r="B844" s="137" t="s">
        <v>3231</v>
      </c>
      <c r="C844" s="138" t="s">
        <v>1161</v>
      </c>
      <c r="D844" s="138" t="s">
        <v>1156</v>
      </c>
      <c r="E844" s="136" t="s">
        <v>1571</v>
      </c>
      <c r="F844" s="419">
        <v>43100</v>
      </c>
      <c r="G844" s="140">
        <v>244.55629999999999</v>
      </c>
      <c r="H844" s="140">
        <v>2</v>
      </c>
      <c r="I844" s="140">
        <v>1.01095</v>
      </c>
      <c r="J844" s="140">
        <v>4.2544299999999993</v>
      </c>
      <c r="K844" s="140">
        <v>43.659840000000003</v>
      </c>
      <c r="L844" s="140">
        <v>51.241898999999997</v>
      </c>
      <c r="M844" s="143" t="s">
        <v>189</v>
      </c>
      <c r="N844" s="143" t="s">
        <v>189</v>
      </c>
      <c r="P844" s="608">
        <v>43.659840000000003</v>
      </c>
      <c r="Q844" s="141">
        <f t="shared" si="25"/>
        <v>0</v>
      </c>
    </row>
    <row r="845" spans="1:17">
      <c r="A845" s="138" t="s">
        <v>3230</v>
      </c>
      <c r="B845" s="135" t="s">
        <v>3233</v>
      </c>
      <c r="C845" s="136" t="s">
        <v>1033</v>
      </c>
      <c r="D845" s="136" t="s">
        <v>1112</v>
      </c>
      <c r="E845" s="138" t="s">
        <v>1571</v>
      </c>
      <c r="F845" s="420">
        <v>43100</v>
      </c>
      <c r="G845" s="141">
        <v>239.47066000000001</v>
      </c>
      <c r="H845" s="141">
        <v>4</v>
      </c>
      <c r="I845" s="142" t="s">
        <v>189</v>
      </c>
      <c r="J845" s="141">
        <v>-15.50488</v>
      </c>
      <c r="K845" s="141">
        <v>104.60171</v>
      </c>
      <c r="L845" s="141">
        <v>103.20264</v>
      </c>
      <c r="M845" s="142" t="s">
        <v>189</v>
      </c>
      <c r="N845" s="142" t="s">
        <v>189</v>
      </c>
      <c r="P845" s="610">
        <v>104.60171</v>
      </c>
      <c r="Q845" s="141">
        <f t="shared" si="25"/>
        <v>0</v>
      </c>
    </row>
    <row r="846" spans="1:17" ht="21">
      <c r="A846" s="136" t="s">
        <v>3232</v>
      </c>
      <c r="B846" s="137" t="s">
        <v>3235</v>
      </c>
      <c r="C846" s="138" t="s">
        <v>868</v>
      </c>
      <c r="D846" s="138" t="s">
        <v>811</v>
      </c>
      <c r="E846" s="136" t="s">
        <v>1571</v>
      </c>
      <c r="F846" s="419">
        <v>42735</v>
      </c>
      <c r="G846" s="140">
        <v>227.56939</v>
      </c>
      <c r="H846" s="140">
        <v>3</v>
      </c>
      <c r="I846" s="143" t="s">
        <v>189</v>
      </c>
      <c r="J846" s="140">
        <v>30.54945</v>
      </c>
      <c r="K846" s="140">
        <v>72.225650000000016</v>
      </c>
      <c r="L846" s="140">
        <v>104.21487000000002</v>
      </c>
      <c r="M846" s="143" t="s">
        <v>189</v>
      </c>
      <c r="N846" s="140">
        <v>3</v>
      </c>
      <c r="P846" s="608">
        <v>72.225650000000016</v>
      </c>
      <c r="Q846" s="141">
        <f t="shared" si="25"/>
        <v>0</v>
      </c>
    </row>
    <row r="847" spans="1:17" ht="42">
      <c r="A847" s="138" t="s">
        <v>3234</v>
      </c>
      <c r="B847" s="135" t="s">
        <v>3237</v>
      </c>
      <c r="C847" s="136" t="s">
        <v>885</v>
      </c>
      <c r="D847" s="136" t="s">
        <v>811</v>
      </c>
      <c r="E847" s="138" t="s">
        <v>1571</v>
      </c>
      <c r="F847" s="420">
        <v>42004</v>
      </c>
      <c r="G847" s="141">
        <v>221.82617000000002</v>
      </c>
      <c r="H847" s="141">
        <v>3</v>
      </c>
      <c r="I847" s="141"/>
      <c r="J847" s="141">
        <v>-22.67277</v>
      </c>
      <c r="K847" s="141">
        <v>59.255000000000003</v>
      </c>
      <c r="L847" s="141">
        <v>31.041920000000001</v>
      </c>
      <c r="M847" s="142" t="s">
        <v>189</v>
      </c>
      <c r="N847" s="142" t="s">
        <v>189</v>
      </c>
      <c r="P847" s="610">
        <v>59.255000000000003</v>
      </c>
      <c r="Q847" s="141">
        <f t="shared" si="25"/>
        <v>0</v>
      </c>
    </row>
    <row r="848" spans="1:17" ht="21">
      <c r="A848" s="136" t="s">
        <v>3236</v>
      </c>
      <c r="B848" s="137" t="s">
        <v>3239</v>
      </c>
      <c r="C848" s="138" t="s">
        <v>1416</v>
      </c>
      <c r="D848" s="138" t="s">
        <v>1415</v>
      </c>
      <c r="E848" s="136" t="s">
        <v>1571</v>
      </c>
      <c r="F848" s="419">
        <v>43100</v>
      </c>
      <c r="G848" s="140">
        <v>219.05444</v>
      </c>
      <c r="H848" s="140">
        <v>1</v>
      </c>
      <c r="I848" s="143" t="s">
        <v>189</v>
      </c>
      <c r="J848" s="140">
        <v>1.4494100000000001</v>
      </c>
      <c r="K848" s="140">
        <v>44.214019999999998</v>
      </c>
      <c r="L848" s="140">
        <v>46.880710000000001</v>
      </c>
      <c r="M848" s="143" t="s">
        <v>189</v>
      </c>
      <c r="N848" s="140">
        <v>2</v>
      </c>
      <c r="P848" s="608">
        <v>44.214019999999998</v>
      </c>
      <c r="Q848" s="141">
        <f t="shared" si="25"/>
        <v>0</v>
      </c>
    </row>
    <row r="849" spans="1:17" ht="21">
      <c r="A849" s="138" t="s">
        <v>3238</v>
      </c>
      <c r="B849" s="135" t="s">
        <v>3241</v>
      </c>
      <c r="C849" s="136" t="s">
        <v>865</v>
      </c>
      <c r="D849" s="136" t="s">
        <v>811</v>
      </c>
      <c r="E849" s="138" t="s">
        <v>1571</v>
      </c>
      <c r="F849" s="420">
        <v>43100</v>
      </c>
      <c r="G849" s="141">
        <v>213.11967000000001</v>
      </c>
      <c r="H849" s="141">
        <v>4</v>
      </c>
      <c r="I849" s="142" t="s">
        <v>189</v>
      </c>
      <c r="J849" s="141">
        <v>5.3491300000000006</v>
      </c>
      <c r="K849" s="141">
        <v>105.13195999999999</v>
      </c>
      <c r="L849" s="141">
        <v>117.3865</v>
      </c>
      <c r="M849" s="142" t="s">
        <v>189</v>
      </c>
      <c r="N849" s="141">
        <v>3</v>
      </c>
      <c r="P849" s="610">
        <v>105.13195999999999</v>
      </c>
      <c r="Q849" s="141">
        <f t="shared" si="25"/>
        <v>0</v>
      </c>
    </row>
    <row r="850" spans="1:17" ht="42">
      <c r="A850" s="136" t="s">
        <v>3240</v>
      </c>
      <c r="B850" s="137" t="s">
        <v>3243</v>
      </c>
      <c r="C850" s="138" t="s">
        <v>1031</v>
      </c>
      <c r="D850" s="138" t="s">
        <v>1027</v>
      </c>
      <c r="E850" s="136" t="s">
        <v>1571</v>
      </c>
      <c r="F850" s="419">
        <v>43100</v>
      </c>
      <c r="G850" s="140">
        <v>209.54</v>
      </c>
      <c r="H850" s="143" t="s">
        <v>189</v>
      </c>
      <c r="I850" s="140">
        <v>1.8555999999999999</v>
      </c>
      <c r="J850" s="140">
        <v>7.7291400000000001</v>
      </c>
      <c r="K850" s="143" t="s">
        <v>189</v>
      </c>
      <c r="L850" s="140">
        <v>11.218069999999999</v>
      </c>
      <c r="M850" s="143" t="s">
        <v>189</v>
      </c>
      <c r="N850" s="140">
        <v>2</v>
      </c>
      <c r="P850" s="612" t="s">
        <v>189</v>
      </c>
      <c r="Q850" s="141"/>
    </row>
    <row r="851" spans="1:17" ht="31.5">
      <c r="A851" s="138" t="s">
        <v>3242</v>
      </c>
      <c r="B851" s="135" t="s">
        <v>3245</v>
      </c>
      <c r="C851" s="136" t="s">
        <v>1450</v>
      </c>
      <c r="D851" s="136" t="s">
        <v>1451</v>
      </c>
      <c r="E851" s="138" t="s">
        <v>1571</v>
      </c>
      <c r="F851" s="420">
        <v>43100</v>
      </c>
      <c r="G851" s="141">
        <v>207.84365</v>
      </c>
      <c r="H851" s="141">
        <v>2</v>
      </c>
      <c r="I851" s="141">
        <v>11.88486</v>
      </c>
      <c r="J851" s="141">
        <v>50.544540000000005</v>
      </c>
      <c r="K851" s="141">
        <v>31.848960000000002</v>
      </c>
      <c r="L851" s="141">
        <v>95.922139999999999</v>
      </c>
      <c r="M851" s="142" t="s">
        <v>189</v>
      </c>
      <c r="N851" s="142" t="s">
        <v>189</v>
      </c>
      <c r="P851" s="610">
        <v>31.848960000000002</v>
      </c>
      <c r="Q851" s="141">
        <f t="shared" si="25"/>
        <v>0</v>
      </c>
    </row>
    <row r="852" spans="1:17" ht="42">
      <c r="A852" s="136" t="s">
        <v>3244</v>
      </c>
      <c r="B852" s="137" t="s">
        <v>3247</v>
      </c>
      <c r="C852" s="138" t="s">
        <v>982</v>
      </c>
      <c r="D852" s="138" t="s">
        <v>975</v>
      </c>
      <c r="E852" s="136" t="s">
        <v>1571</v>
      </c>
      <c r="F852" s="419">
        <v>43100</v>
      </c>
      <c r="G852" s="140">
        <v>201.51971000000003</v>
      </c>
      <c r="H852" s="140">
        <v>2</v>
      </c>
      <c r="I852" s="140">
        <v>5.3936900000000003</v>
      </c>
      <c r="J852" s="140">
        <v>17.080009999999998</v>
      </c>
      <c r="K852" s="140">
        <v>56.643680000000003</v>
      </c>
      <c r="L852" s="140">
        <v>92.791439999999994</v>
      </c>
      <c r="M852" s="143" t="s">
        <v>189</v>
      </c>
      <c r="N852" s="143" t="s">
        <v>189</v>
      </c>
      <c r="P852" s="608">
        <v>56.643680000000003</v>
      </c>
      <c r="Q852" s="141">
        <f t="shared" si="25"/>
        <v>0</v>
      </c>
    </row>
    <row r="853" spans="1:17" ht="42">
      <c r="A853" s="138" t="s">
        <v>3246</v>
      </c>
      <c r="B853" s="421" t="s">
        <v>3249</v>
      </c>
      <c r="C853" s="136" t="s">
        <v>1169</v>
      </c>
      <c r="D853" s="136" t="s">
        <v>1168</v>
      </c>
      <c r="E853" s="138" t="s">
        <v>1571</v>
      </c>
      <c r="F853" s="420">
        <v>42735</v>
      </c>
      <c r="G853" s="141">
        <v>195.2209</v>
      </c>
      <c r="H853" s="141">
        <v>3</v>
      </c>
      <c r="I853" s="142" t="s">
        <v>189</v>
      </c>
      <c r="J853" s="141">
        <v>28.559840000000001</v>
      </c>
      <c r="K853" s="141">
        <v>67.942959999999999</v>
      </c>
      <c r="L853" s="141">
        <v>103.15303999999999</v>
      </c>
      <c r="M853" s="142" t="s">
        <v>189</v>
      </c>
      <c r="N853" s="142" t="s">
        <v>189</v>
      </c>
      <c r="P853" s="610">
        <v>67.942959999999999</v>
      </c>
      <c r="Q853" s="141">
        <f t="shared" si="25"/>
        <v>0</v>
      </c>
    </row>
    <row r="854" spans="1:17" ht="21">
      <c r="A854" s="136" t="s">
        <v>3248</v>
      </c>
      <c r="B854" s="137" t="s">
        <v>3251</v>
      </c>
      <c r="C854" s="138" t="s">
        <v>835</v>
      </c>
      <c r="D854" s="138" t="s">
        <v>811</v>
      </c>
      <c r="E854" s="136" t="s">
        <v>1571</v>
      </c>
      <c r="F854" s="419">
        <v>40178</v>
      </c>
      <c r="G854" s="140">
        <v>194.28604999999999</v>
      </c>
      <c r="H854" s="140">
        <v>3</v>
      </c>
      <c r="I854" s="140"/>
      <c r="J854" s="140">
        <v>-31.462460000000004</v>
      </c>
      <c r="K854" s="140">
        <v>110.72105999999999</v>
      </c>
      <c r="L854" s="140">
        <v>95.676770000000005</v>
      </c>
      <c r="M854" s="143" t="s">
        <v>189</v>
      </c>
      <c r="N854" s="143" t="s">
        <v>189</v>
      </c>
      <c r="P854" s="608">
        <v>110.72105999999999</v>
      </c>
      <c r="Q854" s="141">
        <f t="shared" si="25"/>
        <v>0</v>
      </c>
    </row>
    <row r="855" spans="1:17" ht="21">
      <c r="A855" s="138" t="s">
        <v>3250</v>
      </c>
      <c r="B855" s="135" t="s">
        <v>3253</v>
      </c>
      <c r="C855" s="136" t="s">
        <v>832</v>
      </c>
      <c r="D855" s="136" t="s">
        <v>811</v>
      </c>
      <c r="E855" s="138" t="s">
        <v>1571</v>
      </c>
      <c r="F855" s="420">
        <v>43100</v>
      </c>
      <c r="G855" s="141">
        <v>193.50550000000001</v>
      </c>
      <c r="H855" s="141">
        <v>2</v>
      </c>
      <c r="I855" s="141">
        <v>1.1054200000000001</v>
      </c>
      <c r="J855" s="141">
        <v>3.50048</v>
      </c>
      <c r="K855" s="141">
        <v>71.373009999999994</v>
      </c>
      <c r="L855" s="141">
        <v>89.476829000000009</v>
      </c>
      <c r="M855" s="142" t="s">
        <v>189</v>
      </c>
      <c r="N855" s="142" t="s">
        <v>189</v>
      </c>
      <c r="P855" s="610">
        <v>71.373009999999994</v>
      </c>
      <c r="Q855" s="141">
        <f t="shared" si="25"/>
        <v>0</v>
      </c>
    </row>
    <row r="856" spans="1:17" ht="21">
      <c r="A856" s="136" t="s">
        <v>3252</v>
      </c>
      <c r="B856" s="137" t="s">
        <v>3255</v>
      </c>
      <c r="C856" s="138" t="s">
        <v>994</v>
      </c>
      <c r="D856" s="138" t="s">
        <v>975</v>
      </c>
      <c r="E856" s="136" t="s">
        <v>1571</v>
      </c>
      <c r="F856" s="419">
        <v>43100</v>
      </c>
      <c r="G856" s="140">
        <v>193.23179999999999</v>
      </c>
      <c r="H856" s="140">
        <v>3</v>
      </c>
      <c r="I856" s="140">
        <v>3.3782000000000001</v>
      </c>
      <c r="J856" s="140">
        <v>10.518090000000001</v>
      </c>
      <c r="K856" s="140">
        <v>94.193309999999997</v>
      </c>
      <c r="L856" s="140">
        <v>109.89118000000001</v>
      </c>
      <c r="M856" s="143" t="s">
        <v>189</v>
      </c>
      <c r="N856" s="140">
        <v>4</v>
      </c>
      <c r="P856" s="608">
        <v>94.193309999999997</v>
      </c>
      <c r="Q856" s="141">
        <f t="shared" si="25"/>
        <v>0</v>
      </c>
    </row>
    <row r="857" spans="1:17" ht="31.5">
      <c r="A857" s="138" t="s">
        <v>3254</v>
      </c>
      <c r="B857" s="135" t="s">
        <v>3257</v>
      </c>
      <c r="C857" s="136" t="s">
        <v>1348</v>
      </c>
      <c r="D857" s="136" t="s">
        <v>1341</v>
      </c>
      <c r="E857" s="138" t="s">
        <v>1571</v>
      </c>
      <c r="F857" s="420">
        <v>43100</v>
      </c>
      <c r="G857" s="141">
        <v>192.39491999999998</v>
      </c>
      <c r="H857" s="141">
        <v>2</v>
      </c>
      <c r="I857" s="141">
        <v>6.2638800000000003</v>
      </c>
      <c r="J857" s="141">
        <v>23.372640000000001</v>
      </c>
      <c r="K857" s="141">
        <v>51.966940000000001</v>
      </c>
      <c r="L857" s="141">
        <v>86.538399999999996</v>
      </c>
      <c r="M857" s="142" t="s">
        <v>189</v>
      </c>
      <c r="N857" s="142" t="s">
        <v>189</v>
      </c>
      <c r="P857" s="610">
        <v>51.966940000000001</v>
      </c>
      <c r="Q857" s="141">
        <f t="shared" si="25"/>
        <v>0</v>
      </c>
    </row>
    <row r="858" spans="1:17" ht="52.5">
      <c r="A858" s="136" t="s">
        <v>3256</v>
      </c>
      <c r="B858" s="137" t="s">
        <v>3259</v>
      </c>
      <c r="C858" s="138" t="s">
        <v>1278</v>
      </c>
      <c r="D858" s="138" t="s">
        <v>1266</v>
      </c>
      <c r="E858" s="136" t="s">
        <v>1571</v>
      </c>
      <c r="F858" s="419">
        <v>43100</v>
      </c>
      <c r="G858" s="140">
        <v>177.03804000000002</v>
      </c>
      <c r="H858" s="140">
        <v>2</v>
      </c>
      <c r="I858" s="140"/>
      <c r="J858" s="140">
        <v>-22.093119999999999</v>
      </c>
      <c r="K858" s="140">
        <v>74.187359999999998</v>
      </c>
      <c r="L858" s="140">
        <v>61.563500000000005</v>
      </c>
      <c r="M858" s="140">
        <v>1</v>
      </c>
      <c r="N858" s="140">
        <v>1</v>
      </c>
      <c r="P858" s="608">
        <v>74.187359999999998</v>
      </c>
      <c r="Q858" s="141">
        <f t="shared" si="25"/>
        <v>0</v>
      </c>
    </row>
    <row r="859" spans="1:17" ht="21">
      <c r="A859" s="138" t="s">
        <v>3258</v>
      </c>
      <c r="B859" s="135" t="s">
        <v>3261</v>
      </c>
      <c r="C859" s="136" t="s">
        <v>659</v>
      </c>
      <c r="D859" s="136" t="s">
        <v>1622</v>
      </c>
      <c r="E859" s="138" t="s">
        <v>1571</v>
      </c>
      <c r="F859" s="420">
        <v>43100</v>
      </c>
      <c r="G859" s="141">
        <v>173.44604000000001</v>
      </c>
      <c r="H859" s="141">
        <v>1</v>
      </c>
      <c r="I859" s="141"/>
      <c r="J859" s="141">
        <v>7.3166000000000002</v>
      </c>
      <c r="K859" s="141">
        <v>55.299719999999994</v>
      </c>
      <c r="L859" s="141">
        <v>60.896430000000002</v>
      </c>
      <c r="M859" s="142" t="s">
        <v>189</v>
      </c>
      <c r="N859" s="142" t="s">
        <v>189</v>
      </c>
      <c r="P859" s="610">
        <v>55.299719999999994</v>
      </c>
      <c r="Q859" s="141">
        <f t="shared" si="25"/>
        <v>0</v>
      </c>
    </row>
    <row r="860" spans="1:17" ht="31.5">
      <c r="A860" s="136" t="s">
        <v>3260</v>
      </c>
      <c r="B860" s="137" t="s">
        <v>3263</v>
      </c>
      <c r="C860" s="138" t="s">
        <v>751</v>
      </c>
      <c r="D860" s="138" t="s">
        <v>2063</v>
      </c>
      <c r="E860" s="136" t="s">
        <v>1571</v>
      </c>
      <c r="F860" s="419">
        <v>43100</v>
      </c>
      <c r="G860" s="140">
        <v>173.22881999999998</v>
      </c>
      <c r="H860" s="140">
        <v>2</v>
      </c>
      <c r="I860" s="143" t="s">
        <v>189</v>
      </c>
      <c r="J860" s="140">
        <v>49.378320000000002</v>
      </c>
      <c r="K860" s="140">
        <v>57.304780000000001</v>
      </c>
      <c r="L860" s="140">
        <v>109.54140999999998</v>
      </c>
      <c r="M860" s="143" t="s">
        <v>189</v>
      </c>
      <c r="N860" s="143" t="s">
        <v>189</v>
      </c>
      <c r="P860" s="608">
        <v>57.304780000000001</v>
      </c>
      <c r="Q860" s="141">
        <f t="shared" si="25"/>
        <v>0</v>
      </c>
    </row>
    <row r="861" spans="1:17" ht="31.5">
      <c r="A861" s="138" t="s">
        <v>3262</v>
      </c>
      <c r="B861" s="135" t="s">
        <v>3265</v>
      </c>
      <c r="C861" s="136" t="s">
        <v>926</v>
      </c>
      <c r="D861" s="136" t="s">
        <v>811</v>
      </c>
      <c r="E861" s="138" t="s">
        <v>1571</v>
      </c>
      <c r="F861" s="420">
        <v>42369</v>
      </c>
      <c r="G861" s="141">
        <v>173.21484000000001</v>
      </c>
      <c r="H861" s="141">
        <v>3</v>
      </c>
      <c r="I861" s="142" t="s">
        <v>189</v>
      </c>
      <c r="J861" s="141">
        <v>-12.886270000000001</v>
      </c>
      <c r="K861" s="141">
        <v>124.83745999999999</v>
      </c>
      <c r="L861" s="141">
        <v>129.60156000000001</v>
      </c>
      <c r="M861" s="142" t="s">
        <v>189</v>
      </c>
      <c r="N861" s="142" t="s">
        <v>189</v>
      </c>
      <c r="P861" s="610">
        <v>124.83745999999999</v>
      </c>
      <c r="Q861" s="141">
        <f t="shared" si="25"/>
        <v>0</v>
      </c>
    </row>
    <row r="862" spans="1:17" ht="63">
      <c r="A862" s="136" t="s">
        <v>3264</v>
      </c>
      <c r="B862" s="137" t="s">
        <v>3267</v>
      </c>
      <c r="C862" s="138" t="s">
        <v>1379</v>
      </c>
      <c r="D862" s="138" t="s">
        <v>1797</v>
      </c>
      <c r="E862" s="136" t="s">
        <v>1571</v>
      </c>
      <c r="F862" s="419">
        <v>42369</v>
      </c>
      <c r="G862" s="140">
        <v>168.54002</v>
      </c>
      <c r="H862" s="140">
        <v>1</v>
      </c>
      <c r="I862" s="143" t="s">
        <v>189</v>
      </c>
      <c r="J862" s="140">
        <v>-9.7286800000000007</v>
      </c>
      <c r="K862" s="140">
        <v>38.705689999999997</v>
      </c>
      <c r="L862" s="140">
        <v>33.321570000000001</v>
      </c>
      <c r="M862" s="143" t="s">
        <v>189</v>
      </c>
      <c r="N862" s="143" t="s">
        <v>189</v>
      </c>
      <c r="P862" s="608">
        <v>38.705689999999997</v>
      </c>
      <c r="Q862" s="141">
        <f t="shared" si="25"/>
        <v>0</v>
      </c>
    </row>
    <row r="863" spans="1:17" ht="31.5">
      <c r="A863" s="138" t="s">
        <v>3266</v>
      </c>
      <c r="B863" s="135" t="s">
        <v>3269</v>
      </c>
      <c r="C863" s="136" t="s">
        <v>1267</v>
      </c>
      <c r="D863" s="136" t="s">
        <v>1266</v>
      </c>
      <c r="E863" s="138" t="s">
        <v>1571</v>
      </c>
      <c r="F863" s="420">
        <v>43100</v>
      </c>
      <c r="G863" s="141">
        <v>167.77686</v>
      </c>
      <c r="H863" s="141">
        <v>4</v>
      </c>
      <c r="I863" s="141">
        <v>1.2521199999999999</v>
      </c>
      <c r="J863" s="141">
        <v>4.0347100000000005</v>
      </c>
      <c r="K863" s="141">
        <v>71.778229999999994</v>
      </c>
      <c r="L863" s="141">
        <v>77.065060000000003</v>
      </c>
      <c r="M863" s="142" t="s">
        <v>189</v>
      </c>
      <c r="N863" s="142" t="s">
        <v>189</v>
      </c>
      <c r="P863" s="610">
        <v>71.778229999999994</v>
      </c>
      <c r="Q863" s="141">
        <f t="shared" si="25"/>
        <v>0</v>
      </c>
    </row>
    <row r="864" spans="1:17" ht="21">
      <c r="A864" s="136" t="s">
        <v>3268</v>
      </c>
      <c r="B864" s="137" t="s">
        <v>3271</v>
      </c>
      <c r="C864" s="138" t="s">
        <v>670</v>
      </c>
      <c r="D864" s="138" t="s">
        <v>668</v>
      </c>
      <c r="E864" s="136" t="s">
        <v>1571</v>
      </c>
      <c r="F864" s="419">
        <v>43100</v>
      </c>
      <c r="G864" s="140">
        <v>167.49182999999999</v>
      </c>
      <c r="H864" s="140">
        <v>2</v>
      </c>
      <c r="I864" s="140">
        <v>0.27635999999999999</v>
      </c>
      <c r="J864" s="140">
        <v>1.1630400000000001</v>
      </c>
      <c r="K864" s="140">
        <v>31.38007</v>
      </c>
      <c r="L864" s="140">
        <v>36.811380000000007</v>
      </c>
      <c r="M864" s="143" t="s">
        <v>189</v>
      </c>
      <c r="N864" s="143" t="s">
        <v>189</v>
      </c>
      <c r="P864" s="608">
        <v>31.38007</v>
      </c>
      <c r="Q864" s="141">
        <f t="shared" si="25"/>
        <v>0</v>
      </c>
    </row>
    <row r="865" spans="1:17" ht="52.5">
      <c r="A865" s="138" t="s">
        <v>3270</v>
      </c>
      <c r="B865" s="135" t="s">
        <v>3273</v>
      </c>
      <c r="C865" s="136" t="s">
        <v>816</v>
      </c>
      <c r="D865" s="136" t="s">
        <v>811</v>
      </c>
      <c r="E865" s="138" t="s">
        <v>1571</v>
      </c>
      <c r="F865" s="420">
        <v>43100</v>
      </c>
      <c r="G865" s="141">
        <v>166.94611</v>
      </c>
      <c r="H865" s="141">
        <v>2</v>
      </c>
      <c r="I865" s="141">
        <v>4.5708799999999998</v>
      </c>
      <c r="J865" s="141">
        <v>16.241040000000002</v>
      </c>
      <c r="K865" s="141">
        <v>66.628229000000005</v>
      </c>
      <c r="L865" s="141">
        <v>95.72060900000001</v>
      </c>
      <c r="M865" s="142" t="s">
        <v>189</v>
      </c>
      <c r="N865" s="142" t="s">
        <v>189</v>
      </c>
      <c r="P865" s="610">
        <v>66.628229000000005</v>
      </c>
      <c r="Q865" s="141">
        <f t="shared" si="25"/>
        <v>0</v>
      </c>
    </row>
    <row r="866" spans="1:17" ht="42">
      <c r="A866" s="136" t="s">
        <v>3272</v>
      </c>
      <c r="B866" s="137" t="s">
        <v>3275</v>
      </c>
      <c r="C866" s="138" t="s">
        <v>870</v>
      </c>
      <c r="D866" s="138" t="s">
        <v>811</v>
      </c>
      <c r="E866" s="136" t="s">
        <v>1571</v>
      </c>
      <c r="F866" s="419">
        <v>43100</v>
      </c>
      <c r="G866" s="140">
        <v>161.39600000000002</v>
      </c>
      <c r="H866" s="140">
        <v>1</v>
      </c>
      <c r="I866" s="140">
        <v>5.4179500000000003</v>
      </c>
      <c r="J866" s="140">
        <v>18.590250000000001</v>
      </c>
      <c r="K866" s="140">
        <v>60.000010000000003</v>
      </c>
      <c r="L866" s="140">
        <v>84.011209999999991</v>
      </c>
      <c r="M866" s="143" t="s">
        <v>189</v>
      </c>
      <c r="N866" s="143" t="s">
        <v>189</v>
      </c>
      <c r="P866" s="608">
        <v>60.000010000000003</v>
      </c>
      <c r="Q866" s="141">
        <f t="shared" ref="Q866:Q909" si="27">O866*P866</f>
        <v>0</v>
      </c>
    </row>
    <row r="867" spans="1:17" ht="21">
      <c r="A867" s="138" t="s">
        <v>3274</v>
      </c>
      <c r="B867" s="135" t="s">
        <v>3277</v>
      </c>
      <c r="C867" s="136" t="s">
        <v>820</v>
      </c>
      <c r="D867" s="136" t="s">
        <v>811</v>
      </c>
      <c r="E867" s="138" t="s">
        <v>1571</v>
      </c>
      <c r="F867" s="420">
        <v>43100</v>
      </c>
      <c r="G867" s="141">
        <v>158.27501000000001</v>
      </c>
      <c r="H867" s="142" t="s">
        <v>189</v>
      </c>
      <c r="I867" s="141"/>
      <c r="J867" s="141">
        <v>-4.2448699999999997</v>
      </c>
      <c r="K867" s="142" t="s">
        <v>189</v>
      </c>
      <c r="L867" s="141">
        <v>-4.8206800000000003</v>
      </c>
      <c r="M867" s="142" t="s">
        <v>189</v>
      </c>
      <c r="N867" s="142" t="s">
        <v>189</v>
      </c>
      <c r="P867" s="609" t="s">
        <v>189</v>
      </c>
      <c r="Q867" s="141"/>
    </row>
    <row r="868" spans="1:17" ht="31.5">
      <c r="A868" s="136" t="s">
        <v>3276</v>
      </c>
      <c r="B868" s="139" t="s">
        <v>3279</v>
      </c>
      <c r="C868" s="138" t="s">
        <v>914</v>
      </c>
      <c r="D868" s="138" t="s">
        <v>811</v>
      </c>
      <c r="E868" s="136" t="s">
        <v>1571</v>
      </c>
      <c r="F868" s="419">
        <v>42369</v>
      </c>
      <c r="G868" s="140">
        <v>153.43074999999999</v>
      </c>
      <c r="H868" s="140">
        <v>1</v>
      </c>
      <c r="I868" s="140">
        <v>18.313209999999998</v>
      </c>
      <c r="J868" s="140">
        <v>75.099729999999994</v>
      </c>
      <c r="K868" s="140">
        <v>24.209230000000002</v>
      </c>
      <c r="L868" s="140">
        <v>127.94251</v>
      </c>
      <c r="M868" s="143" t="s">
        <v>189</v>
      </c>
      <c r="N868" s="140">
        <v>1</v>
      </c>
      <c r="P868" s="608">
        <v>24.209230000000002</v>
      </c>
      <c r="Q868" s="141">
        <f t="shared" si="27"/>
        <v>0</v>
      </c>
    </row>
    <row r="869" spans="1:17" ht="21">
      <c r="A869" s="138" t="s">
        <v>3278</v>
      </c>
      <c r="B869" s="135" t="s">
        <v>3281</v>
      </c>
      <c r="C869" s="136" t="s">
        <v>1042</v>
      </c>
      <c r="D869" s="136" t="s">
        <v>971</v>
      </c>
      <c r="E869" s="138" t="s">
        <v>1571</v>
      </c>
      <c r="F869" s="420">
        <v>39447</v>
      </c>
      <c r="G869" s="141">
        <v>152.83431999999999</v>
      </c>
      <c r="H869" s="141">
        <v>1</v>
      </c>
      <c r="I869" s="141">
        <v>0.39862000000000003</v>
      </c>
      <c r="J869" s="141">
        <v>1.2622800000000001</v>
      </c>
      <c r="K869" s="141">
        <v>47.740080000000006</v>
      </c>
      <c r="L869" s="141">
        <v>50.068460000000002</v>
      </c>
      <c r="M869" s="142" t="s">
        <v>189</v>
      </c>
      <c r="N869" s="141">
        <v>2</v>
      </c>
      <c r="P869" s="610">
        <v>47.740080000000006</v>
      </c>
      <c r="Q869" s="141">
        <f t="shared" si="27"/>
        <v>0</v>
      </c>
    </row>
    <row r="870" spans="1:17" ht="42">
      <c r="A870" s="136" t="s">
        <v>3280</v>
      </c>
      <c r="B870" s="137" t="s">
        <v>3283</v>
      </c>
      <c r="C870" s="138" t="s">
        <v>1403</v>
      </c>
      <c r="D870" s="138" t="s">
        <v>1404</v>
      </c>
      <c r="E870" s="136" t="s">
        <v>1571</v>
      </c>
      <c r="F870" s="419">
        <v>43100</v>
      </c>
      <c r="G870" s="140">
        <v>149.54433</v>
      </c>
      <c r="H870" s="140">
        <v>2</v>
      </c>
      <c r="I870" s="140"/>
      <c r="J870" s="140">
        <v>-1.7212499999999999</v>
      </c>
      <c r="K870" s="140">
        <v>69.324409999999986</v>
      </c>
      <c r="L870" s="140">
        <v>69.822969999999998</v>
      </c>
      <c r="M870" s="143" t="s">
        <v>189</v>
      </c>
      <c r="N870" s="140">
        <v>1</v>
      </c>
      <c r="P870" s="608">
        <v>69.324409999999986</v>
      </c>
      <c r="Q870" s="141">
        <f t="shared" si="27"/>
        <v>0</v>
      </c>
    </row>
    <row r="871" spans="1:17" ht="21">
      <c r="A871" s="138" t="s">
        <v>3282</v>
      </c>
      <c r="B871" s="421" t="s">
        <v>3285</v>
      </c>
      <c r="C871" s="136" t="s">
        <v>827</v>
      </c>
      <c r="D871" s="136" t="s">
        <v>811</v>
      </c>
      <c r="E871" s="138" t="s">
        <v>1571</v>
      </c>
      <c r="F871" s="420">
        <v>43100</v>
      </c>
      <c r="G871" s="141">
        <v>148.80549999999999</v>
      </c>
      <c r="H871" s="142" t="s">
        <v>189</v>
      </c>
      <c r="I871" s="142" t="s">
        <v>189</v>
      </c>
      <c r="J871" s="141">
        <v>4.5990000000000003E-2</v>
      </c>
      <c r="K871" s="141">
        <v>27.37</v>
      </c>
      <c r="L871" s="141">
        <v>27.868189999999998</v>
      </c>
      <c r="M871" s="141">
        <v>1</v>
      </c>
      <c r="N871" s="141">
        <v>2</v>
      </c>
      <c r="O871" s="211">
        <f t="shared" ref="O871:O890" si="28">M871/(M871+N871)</f>
        <v>0.33333333333333331</v>
      </c>
      <c r="P871" s="610">
        <v>27.37</v>
      </c>
      <c r="Q871" s="141">
        <f t="shared" si="27"/>
        <v>9.1233333333333331</v>
      </c>
    </row>
    <row r="872" spans="1:17" ht="31.5">
      <c r="A872" s="136" t="s">
        <v>3284</v>
      </c>
      <c r="B872" s="137" t="s">
        <v>3287</v>
      </c>
      <c r="C872" s="138" t="s">
        <v>962</v>
      </c>
      <c r="D872" s="138" t="s">
        <v>811</v>
      </c>
      <c r="E872" s="136" t="s">
        <v>1571</v>
      </c>
      <c r="F872" s="419">
        <v>40908</v>
      </c>
      <c r="G872" s="140">
        <v>145.93725000000001</v>
      </c>
      <c r="H872" s="140">
        <v>2</v>
      </c>
      <c r="I872" s="143" t="s">
        <v>189</v>
      </c>
      <c r="J872" s="140">
        <v>-3.4492399999999996</v>
      </c>
      <c r="K872" s="140">
        <v>41.101570000000002</v>
      </c>
      <c r="L872" s="140">
        <v>42.331400000000002</v>
      </c>
      <c r="M872" s="143" t="s">
        <v>189</v>
      </c>
      <c r="N872" s="143" t="s">
        <v>189</v>
      </c>
      <c r="P872" s="608">
        <v>41.101570000000002</v>
      </c>
      <c r="Q872" s="141">
        <f t="shared" si="27"/>
        <v>0</v>
      </c>
    </row>
    <row r="873" spans="1:17" ht="42">
      <c r="A873" s="138" t="s">
        <v>3286</v>
      </c>
      <c r="B873" s="421" t="s">
        <v>3289</v>
      </c>
      <c r="C873" s="136" t="s">
        <v>966</v>
      </c>
      <c r="D873" s="136" t="s">
        <v>811</v>
      </c>
      <c r="E873" s="138" t="s">
        <v>1571</v>
      </c>
      <c r="F873" s="420">
        <v>43100</v>
      </c>
      <c r="G873" s="141">
        <v>145.76617000000002</v>
      </c>
      <c r="H873" s="141">
        <v>1</v>
      </c>
      <c r="I873" s="141">
        <v>0.36734000000000006</v>
      </c>
      <c r="J873" s="141">
        <v>1.16326</v>
      </c>
      <c r="K873" s="141">
        <v>42.59149</v>
      </c>
      <c r="L873" s="141">
        <v>44.929209999999998</v>
      </c>
      <c r="M873" s="142" t="s">
        <v>189</v>
      </c>
      <c r="N873" s="142" t="s">
        <v>189</v>
      </c>
      <c r="P873" s="610">
        <v>42.59149</v>
      </c>
      <c r="Q873" s="141">
        <f t="shared" si="27"/>
        <v>0</v>
      </c>
    </row>
    <row r="874" spans="1:17" ht="21">
      <c r="A874" s="136" t="s">
        <v>3288</v>
      </c>
      <c r="B874" s="137" t="s">
        <v>3291</v>
      </c>
      <c r="C874" s="138" t="s">
        <v>907</v>
      </c>
      <c r="D874" s="138" t="s">
        <v>811</v>
      </c>
      <c r="E874" s="136" t="s">
        <v>1571</v>
      </c>
      <c r="F874" s="419">
        <v>42004</v>
      </c>
      <c r="G874" s="140">
        <v>144.88532999999998</v>
      </c>
      <c r="H874" s="140">
        <v>6</v>
      </c>
      <c r="I874" s="140"/>
      <c r="J874" s="140">
        <v>-7.8778699999999997</v>
      </c>
      <c r="K874" s="140">
        <v>90.523330000000001</v>
      </c>
      <c r="L874" s="140">
        <v>86.2303</v>
      </c>
      <c r="M874" s="140">
        <v>1</v>
      </c>
      <c r="N874" s="140">
        <v>1</v>
      </c>
      <c r="O874" s="211">
        <f t="shared" si="28"/>
        <v>0.5</v>
      </c>
      <c r="P874" s="608">
        <v>90.523330000000001</v>
      </c>
      <c r="Q874" s="141">
        <f t="shared" si="27"/>
        <v>45.261665000000001</v>
      </c>
    </row>
    <row r="875" spans="1:17" ht="31.5">
      <c r="A875" s="138" t="s">
        <v>3290</v>
      </c>
      <c r="B875" s="135" t="s">
        <v>3293</v>
      </c>
      <c r="C875" s="136" t="s">
        <v>1412</v>
      </c>
      <c r="D875" s="136" t="s">
        <v>1411</v>
      </c>
      <c r="E875" s="138" t="s">
        <v>1571</v>
      </c>
      <c r="F875" s="420">
        <v>43100</v>
      </c>
      <c r="G875" s="141">
        <v>142.4495</v>
      </c>
      <c r="H875" s="141">
        <v>2</v>
      </c>
      <c r="I875" s="142" t="s">
        <v>189</v>
      </c>
      <c r="J875" s="141">
        <v>19.839309999999998</v>
      </c>
      <c r="K875" s="141">
        <v>72.446270000000013</v>
      </c>
      <c r="L875" s="141">
        <v>104.40105000000001</v>
      </c>
      <c r="M875" s="142" t="s">
        <v>189</v>
      </c>
      <c r="N875" s="142" t="s">
        <v>189</v>
      </c>
      <c r="P875" s="610">
        <v>72.446270000000013</v>
      </c>
      <c r="Q875" s="141">
        <f t="shared" si="27"/>
        <v>0</v>
      </c>
    </row>
    <row r="876" spans="1:17" ht="52.5">
      <c r="A876" s="136" t="s">
        <v>3292</v>
      </c>
      <c r="B876" s="137" t="s">
        <v>3295</v>
      </c>
      <c r="C876" s="138" t="s">
        <v>1447</v>
      </c>
      <c r="D876" s="138" t="s">
        <v>1448</v>
      </c>
      <c r="E876" s="136" t="s">
        <v>1571</v>
      </c>
      <c r="F876" s="419">
        <v>42735</v>
      </c>
      <c r="G876" s="140">
        <v>141.5453</v>
      </c>
      <c r="H876" s="140">
        <v>2</v>
      </c>
      <c r="I876" s="140">
        <v>0.53394999999999992</v>
      </c>
      <c r="J876" s="140">
        <v>2.99072</v>
      </c>
      <c r="K876" s="140">
        <v>87.943529999999996</v>
      </c>
      <c r="L876" s="140">
        <v>105.46545900000001</v>
      </c>
      <c r="M876" s="143" t="s">
        <v>189</v>
      </c>
      <c r="N876" s="143" t="s">
        <v>189</v>
      </c>
      <c r="P876" s="608">
        <v>87.943529999999996</v>
      </c>
      <c r="Q876" s="141">
        <f t="shared" si="27"/>
        <v>0</v>
      </c>
    </row>
    <row r="877" spans="1:17" ht="21">
      <c r="A877" s="138" t="s">
        <v>3294</v>
      </c>
      <c r="B877" s="135" t="s">
        <v>3297</v>
      </c>
      <c r="C877" s="136" t="s">
        <v>1171</v>
      </c>
      <c r="D877" s="136" t="s">
        <v>1168</v>
      </c>
      <c r="E877" s="138" t="s">
        <v>1571</v>
      </c>
      <c r="F877" s="420">
        <v>43100</v>
      </c>
      <c r="G877" s="141">
        <v>139.25567000000001</v>
      </c>
      <c r="H877" s="141">
        <v>1</v>
      </c>
      <c r="I877" s="141">
        <v>2.1410500000000003</v>
      </c>
      <c r="J877" s="141">
        <v>6.78</v>
      </c>
      <c r="K877" s="141">
        <v>19.193519999999999</v>
      </c>
      <c r="L877" s="141">
        <v>43.345779999999998</v>
      </c>
      <c r="M877" s="142" t="s">
        <v>189</v>
      </c>
      <c r="N877" s="141">
        <v>2</v>
      </c>
      <c r="P877" s="610">
        <v>19.193519999999999</v>
      </c>
      <c r="Q877" s="141">
        <f t="shared" si="27"/>
        <v>0</v>
      </c>
    </row>
    <row r="878" spans="1:17" ht="21">
      <c r="A878" s="136" t="s">
        <v>3296</v>
      </c>
      <c r="B878" s="137" t="s">
        <v>3299</v>
      </c>
      <c r="C878" s="138" t="s">
        <v>699</v>
      </c>
      <c r="D878" s="138" t="s">
        <v>700</v>
      </c>
      <c r="E878" s="136" t="s">
        <v>1571</v>
      </c>
      <c r="F878" s="419">
        <v>43100</v>
      </c>
      <c r="G878" s="140">
        <v>139.04603</v>
      </c>
      <c r="H878" s="140">
        <v>3</v>
      </c>
      <c r="I878" s="140">
        <v>2.84077</v>
      </c>
      <c r="J878" s="140">
        <v>8.9957600000000006</v>
      </c>
      <c r="K878" s="140">
        <v>41.966480000000004</v>
      </c>
      <c r="L878" s="140">
        <v>54.678350000000009</v>
      </c>
      <c r="M878" s="140">
        <v>1</v>
      </c>
      <c r="N878" s="140">
        <v>1</v>
      </c>
      <c r="O878" s="211">
        <f t="shared" si="28"/>
        <v>0.5</v>
      </c>
      <c r="P878" s="608">
        <v>41.966480000000004</v>
      </c>
      <c r="Q878" s="141">
        <f t="shared" si="27"/>
        <v>20.983240000000002</v>
      </c>
    </row>
    <row r="879" spans="1:17" ht="21">
      <c r="A879" s="138" t="s">
        <v>3298</v>
      </c>
      <c r="B879" s="135" t="s">
        <v>3301</v>
      </c>
      <c r="C879" s="136" t="s">
        <v>889</v>
      </c>
      <c r="D879" s="136" t="s">
        <v>811</v>
      </c>
      <c r="E879" s="138" t="s">
        <v>1571</v>
      </c>
      <c r="F879" s="420">
        <v>43100</v>
      </c>
      <c r="G879" s="141">
        <v>131.05490999999998</v>
      </c>
      <c r="H879" s="141">
        <v>1</v>
      </c>
      <c r="I879" s="142" t="s">
        <v>189</v>
      </c>
      <c r="J879" s="141">
        <v>8.3964099999999995</v>
      </c>
      <c r="K879" s="141">
        <v>21.793560000000003</v>
      </c>
      <c r="L879" s="141">
        <v>40.086390000000002</v>
      </c>
      <c r="M879" s="142" t="s">
        <v>189</v>
      </c>
      <c r="N879" s="142" t="s">
        <v>189</v>
      </c>
      <c r="P879" s="610">
        <v>21.793560000000003</v>
      </c>
      <c r="Q879" s="141">
        <f t="shared" si="27"/>
        <v>0</v>
      </c>
    </row>
    <row r="880" spans="1:17" ht="31.5">
      <c r="A880" s="136" t="s">
        <v>3300</v>
      </c>
      <c r="B880" s="137" t="s">
        <v>3303</v>
      </c>
      <c r="C880" s="138" t="s">
        <v>1481</v>
      </c>
      <c r="D880" s="138" t="s">
        <v>1474</v>
      </c>
      <c r="E880" s="136" t="s">
        <v>1571</v>
      </c>
      <c r="F880" s="419">
        <v>43100</v>
      </c>
      <c r="G880" s="140">
        <v>130.46039999999999</v>
      </c>
      <c r="H880" s="143" t="s">
        <v>189</v>
      </c>
      <c r="I880" s="143" t="s">
        <v>189</v>
      </c>
      <c r="J880" s="140">
        <v>1.63662</v>
      </c>
      <c r="K880" s="140">
        <v>27.742920000000002</v>
      </c>
      <c r="L880" s="140">
        <v>38.221600000000002</v>
      </c>
      <c r="M880" s="143" t="s">
        <v>189</v>
      </c>
      <c r="N880" s="143" t="s">
        <v>189</v>
      </c>
      <c r="P880" s="608">
        <v>27.742920000000002</v>
      </c>
      <c r="Q880" s="141">
        <f t="shared" si="27"/>
        <v>0</v>
      </c>
    </row>
    <row r="881" spans="1:17" ht="31.5">
      <c r="A881" s="138" t="s">
        <v>3302</v>
      </c>
      <c r="B881" s="421" t="s">
        <v>3305</v>
      </c>
      <c r="C881" s="136" t="s">
        <v>921</v>
      </c>
      <c r="D881" s="136" t="s">
        <v>811</v>
      </c>
      <c r="E881" s="138" t="s">
        <v>1571</v>
      </c>
      <c r="F881" s="420">
        <v>40543</v>
      </c>
      <c r="G881" s="141">
        <v>130.24439999999998</v>
      </c>
      <c r="H881" s="141">
        <v>2</v>
      </c>
      <c r="I881" s="141">
        <v>1.6435599999999999</v>
      </c>
      <c r="J881" s="141">
        <v>10.807700000000001</v>
      </c>
      <c r="K881" s="141">
        <v>38.829360000000001</v>
      </c>
      <c r="L881" s="141">
        <v>69.297539999999998</v>
      </c>
      <c r="M881" s="142" t="s">
        <v>189</v>
      </c>
      <c r="N881" s="142" t="s">
        <v>189</v>
      </c>
      <c r="P881" s="610">
        <v>38.829360000000001</v>
      </c>
      <c r="Q881" s="141">
        <f t="shared" si="27"/>
        <v>0</v>
      </c>
    </row>
    <row r="882" spans="1:17" ht="42">
      <c r="A882" s="136" t="s">
        <v>3304</v>
      </c>
      <c r="B882" s="137" t="s">
        <v>3307</v>
      </c>
      <c r="C882" s="138" t="s">
        <v>846</v>
      </c>
      <c r="D882" s="138" t="s">
        <v>811</v>
      </c>
      <c r="E882" s="136" t="s">
        <v>1571</v>
      </c>
      <c r="F882" s="419">
        <v>38717</v>
      </c>
      <c r="G882" s="140">
        <v>130.1174</v>
      </c>
      <c r="H882" s="143" t="s">
        <v>189</v>
      </c>
      <c r="I882" s="140">
        <v>1.83005</v>
      </c>
      <c r="J882" s="140">
        <v>0.49896999999999997</v>
      </c>
      <c r="K882" s="140">
        <v>30.766500000000001</v>
      </c>
      <c r="L882" s="140">
        <v>44.953928999999995</v>
      </c>
      <c r="M882" s="143" t="s">
        <v>189</v>
      </c>
      <c r="N882" s="143" t="s">
        <v>189</v>
      </c>
      <c r="P882" s="608">
        <v>30.766500000000001</v>
      </c>
      <c r="Q882" s="141">
        <f t="shared" si="27"/>
        <v>0</v>
      </c>
    </row>
    <row r="883" spans="1:17" ht="31.5">
      <c r="A883" s="138" t="s">
        <v>3306</v>
      </c>
      <c r="B883" s="135" t="s">
        <v>3309</v>
      </c>
      <c r="C883" s="136" t="s">
        <v>1441</v>
      </c>
      <c r="D883" s="136" t="s">
        <v>1429</v>
      </c>
      <c r="E883" s="138" t="s">
        <v>1571</v>
      </c>
      <c r="F883" s="420">
        <v>43100</v>
      </c>
      <c r="G883" s="141">
        <v>126.90723</v>
      </c>
      <c r="H883" s="142" t="s">
        <v>189</v>
      </c>
      <c r="I883" s="141">
        <v>-7.9450000000000007E-2</v>
      </c>
      <c r="J883" s="141">
        <v>-0.25158000000000003</v>
      </c>
      <c r="K883" s="142" t="s">
        <v>189</v>
      </c>
      <c r="L883" s="141">
        <v>-0.33102999999999999</v>
      </c>
      <c r="M883" s="142" t="s">
        <v>189</v>
      </c>
      <c r="N883" s="141">
        <v>1</v>
      </c>
      <c r="P883" s="609" t="s">
        <v>189</v>
      </c>
      <c r="Q883" s="141"/>
    </row>
    <row r="884" spans="1:17" ht="21">
      <c r="A884" s="136" t="s">
        <v>3308</v>
      </c>
      <c r="B884" s="137" t="s">
        <v>3311</v>
      </c>
      <c r="C884" s="138" t="s">
        <v>1268</v>
      </c>
      <c r="D884" s="138" t="s">
        <v>1266</v>
      </c>
      <c r="E884" s="136" t="s">
        <v>1571</v>
      </c>
      <c r="F884" s="419">
        <v>43100</v>
      </c>
      <c r="G884" s="140">
        <v>124.72932000000002</v>
      </c>
      <c r="H884" s="140">
        <v>2</v>
      </c>
      <c r="I884" s="140"/>
      <c r="J884" s="140">
        <v>-12.837440000000001</v>
      </c>
      <c r="K884" s="140">
        <v>69.250989999999987</v>
      </c>
      <c r="L884" s="140">
        <v>53.990549000000001</v>
      </c>
      <c r="M884" s="143" t="s">
        <v>189</v>
      </c>
      <c r="N884" s="143" t="s">
        <v>189</v>
      </c>
      <c r="P884" s="608">
        <v>69.250989999999987</v>
      </c>
      <c r="Q884" s="141">
        <f t="shared" si="27"/>
        <v>0</v>
      </c>
    </row>
    <row r="885" spans="1:17" ht="42">
      <c r="A885" s="138" t="s">
        <v>3310</v>
      </c>
      <c r="B885" s="135" t="s">
        <v>3313</v>
      </c>
      <c r="C885" s="136" t="s">
        <v>872</v>
      </c>
      <c r="D885" s="136" t="s">
        <v>1474</v>
      </c>
      <c r="E885" s="138" t="s">
        <v>1571</v>
      </c>
      <c r="F885" s="420">
        <v>43100</v>
      </c>
      <c r="G885" s="141">
        <v>120.70359000000001</v>
      </c>
      <c r="H885" s="141">
        <v>2</v>
      </c>
      <c r="I885" s="141">
        <v>1.5542100000000001</v>
      </c>
      <c r="J885" s="141">
        <v>6.5406100000000009</v>
      </c>
      <c r="K885" s="141">
        <v>52.931699999999999</v>
      </c>
      <c r="L885" s="141">
        <v>63.398468999999999</v>
      </c>
      <c r="M885" s="142" t="s">
        <v>189</v>
      </c>
      <c r="N885" s="142" t="s">
        <v>189</v>
      </c>
      <c r="P885" s="610">
        <v>52.931699999999999</v>
      </c>
      <c r="Q885" s="141">
        <f t="shared" si="27"/>
        <v>0</v>
      </c>
    </row>
    <row r="886" spans="1:17" ht="52.5">
      <c r="A886" s="136" t="s">
        <v>3312</v>
      </c>
      <c r="B886" s="137" t="s">
        <v>3315</v>
      </c>
      <c r="C886" s="138" t="s">
        <v>1277</v>
      </c>
      <c r="D886" s="138" t="s">
        <v>1266</v>
      </c>
      <c r="E886" s="136" t="s">
        <v>1571</v>
      </c>
      <c r="F886" s="419">
        <v>43100</v>
      </c>
      <c r="G886" s="140">
        <v>119.54065000000001</v>
      </c>
      <c r="H886" s="140">
        <v>1</v>
      </c>
      <c r="I886" s="143" t="s">
        <v>189</v>
      </c>
      <c r="J886" s="140">
        <v>0.40194000000000002</v>
      </c>
      <c r="K886" s="140">
        <v>41.928159999999998</v>
      </c>
      <c r="L886" s="140">
        <v>42.834789999999991</v>
      </c>
      <c r="M886" s="143" t="s">
        <v>189</v>
      </c>
      <c r="N886" s="143" t="s">
        <v>189</v>
      </c>
      <c r="P886" s="608">
        <v>41.928159999999998</v>
      </c>
      <c r="Q886" s="141">
        <f t="shared" si="27"/>
        <v>0</v>
      </c>
    </row>
    <row r="887" spans="1:17">
      <c r="A887" s="138" t="s">
        <v>3314</v>
      </c>
      <c r="B887" s="135" t="s">
        <v>3317</v>
      </c>
      <c r="C887" s="136" t="s">
        <v>628</v>
      </c>
      <c r="D887" s="136" t="s">
        <v>3318</v>
      </c>
      <c r="E887" s="138" t="s">
        <v>1571</v>
      </c>
      <c r="F887" s="420">
        <v>43100</v>
      </c>
      <c r="G887" s="141">
        <v>118.43731</v>
      </c>
      <c r="H887" s="141">
        <v>1</v>
      </c>
      <c r="I887" s="142" t="s">
        <v>189</v>
      </c>
      <c r="J887" s="141">
        <v>-2.1618200000000001</v>
      </c>
      <c r="K887" s="141">
        <v>18.79954</v>
      </c>
      <c r="L887" s="141">
        <v>33.732469999999999</v>
      </c>
      <c r="M887" s="142" t="s">
        <v>189</v>
      </c>
      <c r="N887" s="142" t="s">
        <v>189</v>
      </c>
      <c r="P887" s="610">
        <v>18.79954</v>
      </c>
      <c r="Q887" s="141">
        <f t="shared" si="27"/>
        <v>0</v>
      </c>
    </row>
    <row r="888" spans="1:17" ht="31.5">
      <c r="A888" s="136" t="s">
        <v>3316</v>
      </c>
      <c r="B888" s="137" t="s">
        <v>3320</v>
      </c>
      <c r="C888" s="138" t="s">
        <v>1363</v>
      </c>
      <c r="D888" s="138" t="s">
        <v>1366</v>
      </c>
      <c r="E888" s="136" t="s">
        <v>1571</v>
      </c>
      <c r="F888" s="419">
        <v>43100</v>
      </c>
      <c r="G888" s="140">
        <v>116.77007</v>
      </c>
      <c r="H888" s="140">
        <v>3</v>
      </c>
      <c r="I888" s="143" t="s">
        <v>189</v>
      </c>
      <c r="J888" s="140">
        <v>-8.2049099999999999</v>
      </c>
      <c r="K888" s="140">
        <v>43.957430000000002</v>
      </c>
      <c r="L888" s="140">
        <v>36.360370000000003</v>
      </c>
      <c r="M888" s="143" t="s">
        <v>189</v>
      </c>
      <c r="N888" s="140">
        <v>1</v>
      </c>
      <c r="P888" s="608">
        <v>43.957430000000002</v>
      </c>
      <c r="Q888" s="141">
        <f t="shared" si="27"/>
        <v>0</v>
      </c>
    </row>
    <row r="889" spans="1:17" ht="63">
      <c r="A889" s="138" t="s">
        <v>3319</v>
      </c>
      <c r="B889" s="135" t="s">
        <v>3322</v>
      </c>
      <c r="C889" s="136" t="s">
        <v>1060</v>
      </c>
      <c r="D889" s="136" t="s">
        <v>971</v>
      </c>
      <c r="E889" s="138" t="s">
        <v>1571</v>
      </c>
      <c r="F889" s="420">
        <v>43100</v>
      </c>
      <c r="G889" s="141">
        <v>114.42305</v>
      </c>
      <c r="H889" s="141">
        <v>1</v>
      </c>
      <c r="I889" s="142" t="s">
        <v>189</v>
      </c>
      <c r="J889" s="141">
        <v>6.7418000000000005</v>
      </c>
      <c r="K889" s="141">
        <v>3.2523000000000004</v>
      </c>
      <c r="L889" s="141">
        <v>10.255308999999999</v>
      </c>
      <c r="M889" s="142" t="s">
        <v>189</v>
      </c>
      <c r="N889" s="141">
        <v>1</v>
      </c>
      <c r="P889" s="610">
        <v>3.2523000000000004</v>
      </c>
      <c r="Q889" s="141">
        <f t="shared" si="27"/>
        <v>0</v>
      </c>
    </row>
    <row r="890" spans="1:17" ht="42">
      <c r="A890" s="136" t="s">
        <v>3321</v>
      </c>
      <c r="B890" s="137" t="s">
        <v>3324</v>
      </c>
      <c r="C890" s="138" t="s">
        <v>1339</v>
      </c>
      <c r="D890" s="138" t="s">
        <v>3325</v>
      </c>
      <c r="E890" s="136" t="s">
        <v>1571</v>
      </c>
      <c r="F890" s="419">
        <v>43100</v>
      </c>
      <c r="G890" s="140">
        <v>114.36236000000001</v>
      </c>
      <c r="H890" s="140">
        <v>1</v>
      </c>
      <c r="I890" s="143" t="s">
        <v>189</v>
      </c>
      <c r="J890" s="140">
        <v>13.98151</v>
      </c>
      <c r="K890" s="140">
        <v>12.2523</v>
      </c>
      <c r="L890" s="140">
        <v>39.419008999999996</v>
      </c>
      <c r="M890" s="140">
        <v>1</v>
      </c>
      <c r="N890" s="140">
        <v>4</v>
      </c>
      <c r="O890" s="211">
        <f t="shared" si="28"/>
        <v>0.2</v>
      </c>
      <c r="P890" s="608">
        <v>12.2523</v>
      </c>
      <c r="Q890" s="141">
        <f t="shared" si="27"/>
        <v>2.4504600000000001</v>
      </c>
    </row>
    <row r="891" spans="1:17" ht="31.5">
      <c r="A891" s="138" t="s">
        <v>3323</v>
      </c>
      <c r="B891" s="135" t="s">
        <v>3327</v>
      </c>
      <c r="C891" s="136" t="s">
        <v>934</v>
      </c>
      <c r="D891" s="136" t="s">
        <v>811</v>
      </c>
      <c r="E891" s="138" t="s">
        <v>1571</v>
      </c>
      <c r="F891" s="420">
        <v>43100</v>
      </c>
      <c r="G891" s="141">
        <v>112.71790999999999</v>
      </c>
      <c r="H891" s="141">
        <v>2</v>
      </c>
      <c r="I891" s="142" t="s">
        <v>189</v>
      </c>
      <c r="J891" s="141">
        <v>-20.97372</v>
      </c>
      <c r="K891" s="141">
        <v>67.527190000000004</v>
      </c>
      <c r="L891" s="141">
        <v>56.407769999999999</v>
      </c>
      <c r="M891" s="142" t="s">
        <v>189</v>
      </c>
      <c r="N891" s="142" t="s">
        <v>189</v>
      </c>
      <c r="P891" s="610">
        <v>67.527190000000004</v>
      </c>
      <c r="Q891" s="141">
        <f t="shared" si="27"/>
        <v>0</v>
      </c>
    </row>
    <row r="892" spans="1:17" ht="31.5">
      <c r="A892" s="136" t="s">
        <v>3326</v>
      </c>
      <c r="B892" s="137" t="s">
        <v>3329</v>
      </c>
      <c r="C892" s="138" t="s">
        <v>1238</v>
      </c>
      <c r="D892" s="138" t="s">
        <v>1235</v>
      </c>
      <c r="E892" s="136" t="s">
        <v>1571</v>
      </c>
      <c r="F892" s="419">
        <v>42735</v>
      </c>
      <c r="G892" s="140">
        <v>110.87661</v>
      </c>
      <c r="H892" s="140">
        <v>2</v>
      </c>
      <c r="I892" s="140"/>
      <c r="J892" s="140">
        <v>-26.87377</v>
      </c>
      <c r="K892" s="140">
        <v>66.799979000000008</v>
      </c>
      <c r="L892" s="140">
        <v>31.449759</v>
      </c>
      <c r="M892" s="140">
        <v>1</v>
      </c>
      <c r="N892" s="143" t="s">
        <v>189</v>
      </c>
      <c r="P892" s="608">
        <v>66.799979000000008</v>
      </c>
      <c r="Q892" s="141">
        <f t="shared" si="27"/>
        <v>0</v>
      </c>
    </row>
    <row r="893" spans="1:17" ht="31.5">
      <c r="A893" s="138" t="s">
        <v>3328</v>
      </c>
      <c r="B893" s="135" t="s">
        <v>3331</v>
      </c>
      <c r="C893" s="136" t="s">
        <v>724</v>
      </c>
      <c r="D893" s="136" t="s">
        <v>725</v>
      </c>
      <c r="E893" s="138" t="s">
        <v>1571</v>
      </c>
      <c r="F893" s="420">
        <v>43100</v>
      </c>
      <c r="G893" s="141">
        <v>91.731700000000004</v>
      </c>
      <c r="H893" s="141">
        <v>3</v>
      </c>
      <c r="I893" s="142" t="s">
        <v>189</v>
      </c>
      <c r="J893" s="141">
        <v>-1.96573</v>
      </c>
      <c r="K893" s="141">
        <v>60.08569</v>
      </c>
      <c r="L893" s="141">
        <v>59.559550000000002</v>
      </c>
      <c r="M893" s="141">
        <v>1</v>
      </c>
      <c r="N893" s="142" t="s">
        <v>189</v>
      </c>
      <c r="P893" s="610">
        <v>60.08569</v>
      </c>
      <c r="Q893" s="141">
        <f t="shared" si="27"/>
        <v>0</v>
      </c>
    </row>
    <row r="894" spans="1:17">
      <c r="A894" s="136" t="s">
        <v>3330</v>
      </c>
      <c r="B894" s="137" t="s">
        <v>3333</v>
      </c>
      <c r="C894" s="138" t="s">
        <v>938</v>
      </c>
      <c r="D894" s="138" t="s">
        <v>811</v>
      </c>
      <c r="E894" s="136" t="s">
        <v>1571</v>
      </c>
      <c r="F894" s="419">
        <v>43100</v>
      </c>
      <c r="G894" s="140">
        <v>88.033860000000004</v>
      </c>
      <c r="H894" s="140">
        <v>1</v>
      </c>
      <c r="I894" s="140">
        <v>-0.39122999999999997</v>
      </c>
      <c r="J894" s="140">
        <v>-1.7664200000000001</v>
      </c>
      <c r="K894" s="140">
        <v>40.671350000000004</v>
      </c>
      <c r="L894" s="140">
        <v>48.312880000000007</v>
      </c>
      <c r="M894" s="143" t="s">
        <v>189</v>
      </c>
      <c r="N894" s="140">
        <v>1</v>
      </c>
      <c r="P894" s="608">
        <v>40.671350000000004</v>
      </c>
      <c r="Q894" s="141">
        <f t="shared" si="27"/>
        <v>0</v>
      </c>
    </row>
    <row r="895" spans="1:17" ht="42">
      <c r="A895" s="138" t="s">
        <v>3332</v>
      </c>
      <c r="B895" s="135" t="s">
        <v>3335</v>
      </c>
      <c r="C895" s="136" t="s">
        <v>839</v>
      </c>
      <c r="D895" s="136" t="s">
        <v>811</v>
      </c>
      <c r="E895" s="138" t="s">
        <v>1571</v>
      </c>
      <c r="F895" s="420">
        <v>43100</v>
      </c>
      <c r="G895" s="141">
        <v>86.479309999999998</v>
      </c>
      <c r="H895" s="141">
        <v>1</v>
      </c>
      <c r="I895" s="142" t="s">
        <v>189</v>
      </c>
      <c r="J895" s="141">
        <v>-7.629690000000001</v>
      </c>
      <c r="K895" s="141">
        <v>36.660139999999998</v>
      </c>
      <c r="L895" s="141">
        <v>29.54965</v>
      </c>
      <c r="M895" s="142" t="s">
        <v>189</v>
      </c>
      <c r="N895" s="142" t="s">
        <v>189</v>
      </c>
      <c r="P895" s="610">
        <v>36.660139999999998</v>
      </c>
      <c r="Q895" s="141">
        <f t="shared" si="27"/>
        <v>0</v>
      </c>
    </row>
    <row r="896" spans="1:17" ht="21">
      <c r="A896" s="136" t="s">
        <v>3334</v>
      </c>
      <c r="B896" s="137" t="s">
        <v>3337</v>
      </c>
      <c r="C896" s="138" t="s">
        <v>1024</v>
      </c>
      <c r="D896" s="138" t="s">
        <v>1025</v>
      </c>
      <c r="E896" s="136" t="s">
        <v>1571</v>
      </c>
      <c r="F896" s="419">
        <v>43100</v>
      </c>
      <c r="G896" s="140">
        <v>84.189439999999991</v>
      </c>
      <c r="H896" s="140">
        <v>1</v>
      </c>
      <c r="I896" s="140"/>
      <c r="J896" s="140">
        <v>-2.0998900000000003</v>
      </c>
      <c r="K896" s="140">
        <v>7.7365200000000005</v>
      </c>
      <c r="L896" s="140">
        <v>5.7064899999999996</v>
      </c>
      <c r="M896" s="143" t="s">
        <v>189</v>
      </c>
      <c r="N896" s="143" t="s">
        <v>189</v>
      </c>
      <c r="P896" s="608">
        <v>7.7365200000000005</v>
      </c>
      <c r="Q896" s="141">
        <f t="shared" si="27"/>
        <v>0</v>
      </c>
    </row>
    <row r="897" spans="1:17" ht="42">
      <c r="A897" s="138" t="s">
        <v>3336</v>
      </c>
      <c r="B897" s="135" t="s">
        <v>3339</v>
      </c>
      <c r="C897" s="136" t="s">
        <v>1147</v>
      </c>
      <c r="D897" s="136" t="s">
        <v>1145</v>
      </c>
      <c r="E897" s="138" t="s">
        <v>1571</v>
      </c>
      <c r="F897" s="420">
        <v>43100</v>
      </c>
      <c r="G897" s="141">
        <v>82.416200000000003</v>
      </c>
      <c r="H897" s="141">
        <v>3</v>
      </c>
      <c r="I897" s="141">
        <v>0.10646000000000001</v>
      </c>
      <c r="J897" s="141">
        <v>0.33714000000000005</v>
      </c>
      <c r="K897" s="141">
        <v>72.093190000000007</v>
      </c>
      <c r="L897" s="141">
        <v>74.791270000000011</v>
      </c>
      <c r="M897" s="142" t="s">
        <v>189</v>
      </c>
      <c r="N897" s="142" t="s">
        <v>189</v>
      </c>
      <c r="P897" s="610">
        <v>72.093190000000007</v>
      </c>
      <c r="Q897" s="141">
        <f t="shared" si="27"/>
        <v>0</v>
      </c>
    </row>
    <row r="898" spans="1:17">
      <c r="A898" s="136" t="s">
        <v>3338</v>
      </c>
      <c r="B898" s="137" t="s">
        <v>3341</v>
      </c>
      <c r="C898" s="138" t="s">
        <v>954</v>
      </c>
      <c r="D898" s="138" t="s">
        <v>811</v>
      </c>
      <c r="E898" s="136" t="s">
        <v>1571</v>
      </c>
      <c r="F898" s="419">
        <v>43100</v>
      </c>
      <c r="G898" s="140">
        <v>78.705629999999999</v>
      </c>
      <c r="H898" s="140">
        <v>1</v>
      </c>
      <c r="I898" s="140">
        <v>4.4416600000000006</v>
      </c>
      <c r="J898" s="140">
        <v>22.253720000000001</v>
      </c>
      <c r="K898" s="140">
        <v>12</v>
      </c>
      <c r="L898" s="140">
        <v>41.723879000000004</v>
      </c>
      <c r="M898" s="143" t="s">
        <v>189</v>
      </c>
      <c r="N898" s="143" t="s">
        <v>189</v>
      </c>
      <c r="P898" s="608">
        <v>12</v>
      </c>
      <c r="Q898" s="141">
        <f t="shared" si="27"/>
        <v>0</v>
      </c>
    </row>
    <row r="899" spans="1:17" ht="52.5">
      <c r="A899" s="138" t="s">
        <v>3340</v>
      </c>
      <c r="B899" s="135" t="s">
        <v>3343</v>
      </c>
      <c r="C899" s="136" t="s">
        <v>810</v>
      </c>
      <c r="D899" s="136" t="s">
        <v>811</v>
      </c>
      <c r="E899" s="138" t="s">
        <v>1571</v>
      </c>
      <c r="F899" s="420">
        <v>43100</v>
      </c>
      <c r="G899" s="141">
        <v>78.314939999999993</v>
      </c>
      <c r="H899" s="141">
        <v>1</v>
      </c>
      <c r="I899" s="142" t="s">
        <v>189</v>
      </c>
      <c r="J899" s="141">
        <v>-12.260359999999999</v>
      </c>
      <c r="K899" s="141">
        <v>15.27516</v>
      </c>
      <c r="L899" s="141">
        <v>4.0407489999999999</v>
      </c>
      <c r="M899" s="142" t="s">
        <v>189</v>
      </c>
      <c r="N899" s="142" t="s">
        <v>189</v>
      </c>
      <c r="P899" s="610">
        <v>15.27516</v>
      </c>
      <c r="Q899" s="141">
        <f t="shared" si="27"/>
        <v>0</v>
      </c>
    </row>
    <row r="900" spans="1:17" ht="52.5">
      <c r="A900" s="136" t="s">
        <v>3342</v>
      </c>
      <c r="B900" s="137" t="s">
        <v>3345</v>
      </c>
      <c r="C900" s="138" t="s">
        <v>1280</v>
      </c>
      <c r="D900" s="138" t="s">
        <v>1266</v>
      </c>
      <c r="E900" s="136" t="s">
        <v>1571</v>
      </c>
      <c r="F900" s="419">
        <v>43100</v>
      </c>
      <c r="G900" s="140">
        <v>75.486310000000003</v>
      </c>
      <c r="H900" s="140">
        <v>1</v>
      </c>
      <c r="I900" s="143" t="s">
        <v>189</v>
      </c>
      <c r="J900" s="140">
        <v>-2.2054700000000005</v>
      </c>
      <c r="K900" s="140">
        <v>42.844810000000003</v>
      </c>
      <c r="L900" s="140">
        <v>41.4482</v>
      </c>
      <c r="M900" s="143" t="s">
        <v>189</v>
      </c>
      <c r="N900" s="143" t="s">
        <v>189</v>
      </c>
      <c r="P900" s="608">
        <v>42.844810000000003</v>
      </c>
      <c r="Q900" s="141">
        <f t="shared" si="27"/>
        <v>0</v>
      </c>
    </row>
    <row r="901" spans="1:17" ht="31.5">
      <c r="A901" s="138" t="s">
        <v>3344</v>
      </c>
      <c r="B901" s="135" t="s">
        <v>3347</v>
      </c>
      <c r="C901" s="136" t="s">
        <v>919</v>
      </c>
      <c r="D901" s="136" t="s">
        <v>811</v>
      </c>
      <c r="E901" s="138" t="s">
        <v>1571</v>
      </c>
      <c r="F901" s="420">
        <v>43100</v>
      </c>
      <c r="G901" s="141">
        <v>75.370670000000018</v>
      </c>
      <c r="H901" s="142" t="s">
        <v>189</v>
      </c>
      <c r="I901" s="142" t="s">
        <v>189</v>
      </c>
      <c r="J901" s="141">
        <v>4.8667899999999999</v>
      </c>
      <c r="K901" s="141">
        <v>17.820709999999998</v>
      </c>
      <c r="L901" s="141">
        <v>36.414080000000006</v>
      </c>
      <c r="M901" s="142" t="s">
        <v>189</v>
      </c>
      <c r="N901" s="142" t="s">
        <v>189</v>
      </c>
      <c r="P901" s="610">
        <v>17.820709999999998</v>
      </c>
      <c r="Q901" s="141">
        <f t="shared" si="27"/>
        <v>0</v>
      </c>
    </row>
    <row r="902" spans="1:17" ht="63">
      <c r="A902" s="136" t="s">
        <v>3346</v>
      </c>
      <c r="B902" s="137" t="s">
        <v>3349</v>
      </c>
      <c r="C902" s="138" t="s">
        <v>862</v>
      </c>
      <c r="D902" s="138" t="s">
        <v>811</v>
      </c>
      <c r="E902" s="136" t="s">
        <v>1571</v>
      </c>
      <c r="F902" s="419">
        <v>43100</v>
      </c>
      <c r="G902" s="140">
        <v>73.541989999999998</v>
      </c>
      <c r="H902" s="140">
        <v>2</v>
      </c>
      <c r="I902" s="140">
        <v>0.98260000000000003</v>
      </c>
      <c r="J902" s="140">
        <v>3.1115300000000001</v>
      </c>
      <c r="K902" s="140">
        <v>28.634640000000001</v>
      </c>
      <c r="L902" s="140">
        <v>39.317239999999998</v>
      </c>
      <c r="M902" s="143" t="s">
        <v>189</v>
      </c>
      <c r="N902" s="143" t="s">
        <v>189</v>
      </c>
      <c r="P902" s="608">
        <v>28.634640000000001</v>
      </c>
      <c r="Q902" s="141">
        <f t="shared" si="27"/>
        <v>0</v>
      </c>
    </row>
    <row r="903" spans="1:17" ht="42">
      <c r="A903" s="138" t="s">
        <v>3348</v>
      </c>
      <c r="B903" s="135" t="s">
        <v>3351</v>
      </c>
      <c r="C903" s="136" t="s">
        <v>1282</v>
      </c>
      <c r="D903" s="136" t="s">
        <v>1266</v>
      </c>
      <c r="E903" s="138" t="s">
        <v>1571</v>
      </c>
      <c r="F903" s="420">
        <v>43100</v>
      </c>
      <c r="G903" s="141">
        <v>72.428239999999988</v>
      </c>
      <c r="H903" s="141">
        <v>1</v>
      </c>
      <c r="I903" s="141">
        <v>7.2057699999999993</v>
      </c>
      <c r="J903" s="141">
        <v>22.818280000000001</v>
      </c>
      <c r="K903" s="141">
        <v>24</v>
      </c>
      <c r="L903" s="141">
        <v>55.894069999999999</v>
      </c>
      <c r="M903" s="142" t="s">
        <v>189</v>
      </c>
      <c r="N903" s="142" t="s">
        <v>189</v>
      </c>
      <c r="P903" s="610">
        <v>24</v>
      </c>
      <c r="Q903" s="141">
        <f t="shared" si="27"/>
        <v>0</v>
      </c>
    </row>
    <row r="904" spans="1:17" ht="31.5">
      <c r="A904" s="136" t="s">
        <v>3350</v>
      </c>
      <c r="B904" s="137" t="s">
        <v>3353</v>
      </c>
      <c r="C904" s="138" t="s">
        <v>1004</v>
      </c>
      <c r="D904" s="138" t="s">
        <v>975</v>
      </c>
      <c r="E904" s="136" t="s">
        <v>1571</v>
      </c>
      <c r="F904" s="419">
        <v>39082</v>
      </c>
      <c r="G904" s="140">
        <v>67.405060000000006</v>
      </c>
      <c r="H904" s="140">
        <v>1</v>
      </c>
      <c r="I904" s="140">
        <v>0.88244</v>
      </c>
      <c r="J904" s="140">
        <v>2.05904</v>
      </c>
      <c r="K904" s="140">
        <v>10.609680000000001</v>
      </c>
      <c r="L904" s="140">
        <v>20.825680000000002</v>
      </c>
      <c r="M904" s="143" t="s">
        <v>189</v>
      </c>
      <c r="N904" s="143" t="s">
        <v>189</v>
      </c>
      <c r="P904" s="608">
        <v>10.609680000000001</v>
      </c>
      <c r="Q904" s="141">
        <f t="shared" si="27"/>
        <v>0</v>
      </c>
    </row>
    <row r="905" spans="1:17" ht="21">
      <c r="A905" s="138" t="s">
        <v>3352</v>
      </c>
      <c r="B905" s="421" t="s">
        <v>3355</v>
      </c>
      <c r="C905" s="136" t="s">
        <v>815</v>
      </c>
      <c r="D905" s="136" t="s">
        <v>811</v>
      </c>
      <c r="E905" s="138" t="s">
        <v>1571</v>
      </c>
      <c r="F905" s="420">
        <v>43100</v>
      </c>
      <c r="G905" s="141">
        <v>60.923000000000002</v>
      </c>
      <c r="H905" s="141">
        <v>1</v>
      </c>
      <c r="I905" s="142" t="s">
        <v>189</v>
      </c>
      <c r="J905" s="141">
        <v>1.60155</v>
      </c>
      <c r="K905" s="141">
        <v>27.252299999999998</v>
      </c>
      <c r="L905" s="141">
        <v>28.853849999999998</v>
      </c>
      <c r="M905" s="142" t="s">
        <v>189</v>
      </c>
      <c r="N905" s="142" t="s">
        <v>189</v>
      </c>
      <c r="P905" s="610">
        <v>27.252299999999998</v>
      </c>
      <c r="Q905" s="141">
        <f t="shared" si="27"/>
        <v>0</v>
      </c>
    </row>
    <row r="906" spans="1:17" ht="42">
      <c r="A906" s="136" t="s">
        <v>3354</v>
      </c>
      <c r="B906" s="139" t="s">
        <v>3357</v>
      </c>
      <c r="C906" s="138" t="s">
        <v>861</v>
      </c>
      <c r="D906" s="138" t="s">
        <v>811</v>
      </c>
      <c r="E906" s="136" t="s">
        <v>1571</v>
      </c>
      <c r="F906" s="419">
        <v>41639</v>
      </c>
      <c r="G906" s="140">
        <v>58.878500000000003</v>
      </c>
      <c r="H906" s="143" t="s">
        <v>189</v>
      </c>
      <c r="I906" s="140">
        <v>0.95343999999999995</v>
      </c>
      <c r="J906" s="140">
        <v>3.0192199999999998</v>
      </c>
      <c r="K906" s="140">
        <v>15.33675</v>
      </c>
      <c r="L906" s="140">
        <v>20.422129999999999</v>
      </c>
      <c r="M906" s="143" t="s">
        <v>189</v>
      </c>
      <c r="N906" s="143" t="s">
        <v>189</v>
      </c>
      <c r="P906" s="608">
        <v>15.33675</v>
      </c>
      <c r="Q906" s="141">
        <f t="shared" si="27"/>
        <v>0</v>
      </c>
    </row>
    <row r="907" spans="1:17" ht="42">
      <c r="A907" s="138" t="s">
        <v>3356</v>
      </c>
      <c r="B907" s="135" t="s">
        <v>3359</v>
      </c>
      <c r="C907" s="136" t="s">
        <v>1402</v>
      </c>
      <c r="D907" s="136" t="s">
        <v>1404</v>
      </c>
      <c r="E907" s="138" t="s">
        <v>1571</v>
      </c>
      <c r="F907" s="420">
        <v>43100</v>
      </c>
      <c r="G907" s="141">
        <v>55.938499999999998</v>
      </c>
      <c r="H907" s="141">
        <v>1</v>
      </c>
      <c r="I907" s="141"/>
      <c r="J907" s="141">
        <v>-5.2043200000000009</v>
      </c>
      <c r="K907" s="141">
        <v>32.38984</v>
      </c>
      <c r="L907" s="141">
        <v>29.239218999999999</v>
      </c>
      <c r="M907" s="142" t="s">
        <v>189</v>
      </c>
      <c r="N907" s="142" t="s">
        <v>189</v>
      </c>
      <c r="P907" s="610">
        <v>32.38984</v>
      </c>
      <c r="Q907" s="141">
        <f t="shared" si="27"/>
        <v>0</v>
      </c>
    </row>
    <row r="908" spans="1:17" ht="31.5">
      <c r="A908" s="136" t="s">
        <v>3358</v>
      </c>
      <c r="B908" s="137" t="s">
        <v>3361</v>
      </c>
      <c r="C908" s="138" t="s">
        <v>943</v>
      </c>
      <c r="D908" s="138" t="s">
        <v>811</v>
      </c>
      <c r="E908" s="136" t="s">
        <v>1571</v>
      </c>
      <c r="F908" s="419">
        <v>43100</v>
      </c>
      <c r="G908" s="140">
        <v>55.166699999999999</v>
      </c>
      <c r="H908" s="140">
        <v>1</v>
      </c>
      <c r="I908" s="140">
        <v>1.1041599999999998</v>
      </c>
      <c r="J908" s="140">
        <v>3.4965000000000002</v>
      </c>
      <c r="K908" s="140">
        <v>21.99999</v>
      </c>
      <c r="L908" s="140">
        <v>27.33427</v>
      </c>
      <c r="M908" s="143" t="s">
        <v>189</v>
      </c>
      <c r="N908" s="143" t="s">
        <v>189</v>
      </c>
      <c r="P908" s="608">
        <v>21.99999</v>
      </c>
      <c r="Q908" s="141">
        <f t="shared" si="27"/>
        <v>0</v>
      </c>
    </row>
    <row r="909" spans="1:17">
      <c r="A909" s="138" t="s">
        <v>3360</v>
      </c>
      <c r="B909" s="135" t="s">
        <v>3363</v>
      </c>
      <c r="C909" s="136" t="s">
        <v>1014</v>
      </c>
      <c r="D909" s="136" t="s">
        <v>1013</v>
      </c>
      <c r="E909" s="138" t="s">
        <v>1571</v>
      </c>
      <c r="F909" s="420">
        <v>43100</v>
      </c>
      <c r="G909" s="141">
        <v>40.075950000000006</v>
      </c>
      <c r="H909" s="141">
        <v>1</v>
      </c>
      <c r="I909" s="142" t="s">
        <v>189</v>
      </c>
      <c r="J909" s="141">
        <v>0.7591</v>
      </c>
      <c r="K909" s="141">
        <v>13.0206</v>
      </c>
      <c r="L909" s="141">
        <v>16.881349999999998</v>
      </c>
      <c r="M909" s="142" t="s">
        <v>189</v>
      </c>
      <c r="N909" s="142" t="s">
        <v>189</v>
      </c>
      <c r="P909" s="610">
        <v>13.0206</v>
      </c>
      <c r="Q909" s="141">
        <f t="shared" si="27"/>
        <v>0</v>
      </c>
    </row>
    <row r="910" spans="1:17" ht="21">
      <c r="A910" s="136" t="s">
        <v>3362</v>
      </c>
      <c r="B910" s="137" t="s">
        <v>3365</v>
      </c>
      <c r="C910" s="138" t="s">
        <v>1559</v>
      </c>
      <c r="D910" s="138" t="s">
        <v>1279</v>
      </c>
      <c r="E910" s="136" t="s">
        <v>1571</v>
      </c>
      <c r="F910" s="419">
        <v>43100</v>
      </c>
      <c r="G910" s="140">
        <v>30.506240000000002</v>
      </c>
      <c r="H910" s="143" t="s">
        <v>189</v>
      </c>
      <c r="I910" s="143" t="s">
        <v>189</v>
      </c>
      <c r="J910" s="140">
        <v>0.82617000000000007</v>
      </c>
      <c r="K910" s="143" t="s">
        <v>189</v>
      </c>
      <c r="L910" s="140">
        <v>2.1199390000000005</v>
      </c>
      <c r="P910" s="612"/>
      <c r="Q910" s="141"/>
    </row>
    <row r="911" spans="1:17" ht="42">
      <c r="A911" s="138" t="s">
        <v>3364</v>
      </c>
      <c r="B911" s="135" t="s">
        <v>3367</v>
      </c>
      <c r="C911" s="136" t="s">
        <v>857</v>
      </c>
      <c r="D911" s="136" t="s">
        <v>1145</v>
      </c>
      <c r="E911" s="138" t="s">
        <v>1571</v>
      </c>
      <c r="F911" s="420">
        <v>42369</v>
      </c>
      <c r="G911" s="141">
        <v>26.182560000000002</v>
      </c>
      <c r="H911" s="142" t="s">
        <v>189</v>
      </c>
      <c r="I911" s="141"/>
      <c r="J911" s="141">
        <v>-3.4375</v>
      </c>
      <c r="K911" s="141">
        <v>8.3747600000000002</v>
      </c>
      <c r="L911" s="141">
        <v>3.8786300000000002</v>
      </c>
      <c r="P911" s="610"/>
      <c r="Q911" s="141"/>
    </row>
    <row r="912" spans="1:17" ht="42">
      <c r="A912" s="136" t="s">
        <v>3366</v>
      </c>
      <c r="B912" s="137" t="s">
        <v>3369</v>
      </c>
      <c r="C912" s="138" t="s">
        <v>1172</v>
      </c>
      <c r="D912" s="138" t="s">
        <v>1168</v>
      </c>
      <c r="E912" s="136" t="s">
        <v>1571</v>
      </c>
      <c r="F912" s="419">
        <v>43100</v>
      </c>
      <c r="G912" s="140">
        <v>21.22297</v>
      </c>
      <c r="H912" s="143" t="s">
        <v>189</v>
      </c>
      <c r="I912" s="143" t="s">
        <v>189</v>
      </c>
      <c r="J912" s="140">
        <v>-19.971160000000001</v>
      </c>
      <c r="K912" s="143" t="s">
        <v>189</v>
      </c>
      <c r="L912" s="140">
        <v>-19.624140000000001</v>
      </c>
      <c r="P912" s="612"/>
      <c r="Q912" s="141"/>
    </row>
    <row r="913" spans="1:17" ht="21">
      <c r="A913" s="138" t="s">
        <v>3368</v>
      </c>
      <c r="B913" s="135" t="s">
        <v>3371</v>
      </c>
      <c r="C913" s="136" t="s">
        <v>963</v>
      </c>
      <c r="D913" s="136" t="s">
        <v>811</v>
      </c>
      <c r="E913" s="138" t="s">
        <v>1571</v>
      </c>
      <c r="F913" s="420">
        <v>43100</v>
      </c>
      <c r="G913" s="141">
        <v>16.193000000000001</v>
      </c>
      <c r="H913" s="142" t="s">
        <v>189</v>
      </c>
      <c r="I913" s="141">
        <v>2.172E-2</v>
      </c>
      <c r="J913" s="141">
        <v>9.1400000000000009E-2</v>
      </c>
      <c r="K913" s="142" t="s">
        <v>189</v>
      </c>
      <c r="L913" s="141">
        <v>0.260519</v>
      </c>
      <c r="P913" s="609"/>
      <c r="Q913" s="141"/>
    </row>
    <row r="914" spans="1:17" ht="21">
      <c r="A914" s="136" t="s">
        <v>3370</v>
      </c>
      <c r="B914" s="137" t="s">
        <v>3373</v>
      </c>
      <c r="C914" s="138" t="s">
        <v>621</v>
      </c>
      <c r="D914" s="138" t="s">
        <v>596</v>
      </c>
      <c r="E914" s="136" t="s">
        <v>1571</v>
      </c>
      <c r="F914" s="419">
        <v>43100</v>
      </c>
      <c r="G914" s="140">
        <v>5.0500699999999998</v>
      </c>
      <c r="H914" s="143" t="s">
        <v>189</v>
      </c>
      <c r="I914" s="143" t="s">
        <v>189</v>
      </c>
      <c r="J914" s="140">
        <v>-11.43347</v>
      </c>
      <c r="K914" s="140">
        <v>13.45533</v>
      </c>
      <c r="L914" s="140">
        <v>2.13775</v>
      </c>
      <c r="P914" s="608"/>
      <c r="Q914" s="141"/>
    </row>
    <row r="915" spans="1:17" ht="31.5">
      <c r="A915" s="138" t="s">
        <v>3372</v>
      </c>
      <c r="B915" s="135" t="s">
        <v>3375</v>
      </c>
      <c r="C915" s="136" t="s">
        <v>602</v>
      </c>
      <c r="D915" s="136" t="s">
        <v>596</v>
      </c>
      <c r="E915" s="138" t="s">
        <v>1571</v>
      </c>
      <c r="F915" s="420">
        <v>42004</v>
      </c>
      <c r="G915" s="142" t="s">
        <v>189</v>
      </c>
      <c r="H915" s="142" t="s">
        <v>189</v>
      </c>
      <c r="I915" s="142" t="s">
        <v>189</v>
      </c>
      <c r="J915" s="142" t="s">
        <v>189</v>
      </c>
      <c r="K915" s="142" t="s">
        <v>189</v>
      </c>
      <c r="L915" s="142" t="s">
        <v>189</v>
      </c>
      <c r="P915" s="609"/>
      <c r="Q915" s="141"/>
    </row>
    <row r="916" spans="1:17">
      <c r="A916" s="136" t="s">
        <v>3374</v>
      </c>
      <c r="E916" s="136" t="s">
        <v>1571</v>
      </c>
      <c r="F916" s="419">
        <v>43100</v>
      </c>
      <c r="G916" s="143" t="s">
        <v>189</v>
      </c>
      <c r="H916" s="143" t="s">
        <v>189</v>
      </c>
      <c r="I916" s="143" t="s">
        <v>189</v>
      </c>
      <c r="J916" s="140">
        <v>-36.236780000000003</v>
      </c>
      <c r="K916" s="140">
        <v>9.3425200000000004</v>
      </c>
      <c r="L916" s="140">
        <v>-26.894260000000003</v>
      </c>
      <c r="P916" s="608"/>
      <c r="Q916" s="141"/>
    </row>
  </sheetData>
  <mergeCells count="5">
    <mergeCell ref="B18:C18"/>
    <mergeCell ref="B14:D14"/>
    <mergeCell ref="B15:C15"/>
    <mergeCell ref="B16:C16"/>
    <mergeCell ref="B17:C17"/>
  </mergeCells>
  <pageMargins left="0.7" right="0.7" top="0.75" bottom="0.75" header="0.3" footer="0.3"/>
  <pageSetup paperSize="9" orientation="portrait" verticalDpi="12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2:M916"/>
  <sheetViews>
    <sheetView showGridLines="0" zoomScale="50" zoomScaleNormal="50" workbookViewId="0">
      <selection activeCell="A2" sqref="A2:L42"/>
    </sheetView>
  </sheetViews>
  <sheetFormatPr baseColWidth="10" defaultColWidth="11.42578125" defaultRowHeight="12.75"/>
  <cols>
    <col min="1" max="1" width="5.140625" style="382" customWidth="1"/>
    <col min="2" max="10" width="17.140625" style="382" customWidth="1"/>
    <col min="11" max="11" width="15.5703125" style="382" customWidth="1"/>
    <col min="12" max="16384" width="11.42578125" style="382"/>
  </cols>
  <sheetData>
    <row r="2" spans="2:13" ht="25.5">
      <c r="B2" s="383" t="s">
        <v>0</v>
      </c>
      <c r="C2" s="384" t="s">
        <v>520</v>
      </c>
      <c r="D2" s="384" t="s">
        <v>15</v>
      </c>
      <c r="E2" s="384" t="s">
        <v>6</v>
      </c>
      <c r="F2" s="384" t="s">
        <v>9</v>
      </c>
      <c r="G2" s="384" t="s">
        <v>11</v>
      </c>
      <c r="H2" s="384" t="s">
        <v>16</v>
      </c>
      <c r="I2" s="384" t="s">
        <v>20</v>
      </c>
      <c r="J2" s="384" t="s">
        <v>3</v>
      </c>
      <c r="K2" s="384" t="s">
        <v>204</v>
      </c>
    </row>
    <row r="3" spans="2:13" ht="38.25">
      <c r="B3" s="383" t="s">
        <v>1</v>
      </c>
      <c r="C3" s="385" t="s">
        <v>521</v>
      </c>
      <c r="D3" s="385" t="s">
        <v>386</v>
      </c>
      <c r="E3" s="385" t="s">
        <v>7</v>
      </c>
      <c r="F3" s="385" t="s">
        <v>10</v>
      </c>
      <c r="G3" s="385" t="s">
        <v>12</v>
      </c>
      <c r="H3" s="385" t="s">
        <v>13</v>
      </c>
      <c r="I3" s="385" t="s">
        <v>21</v>
      </c>
      <c r="J3" s="385" t="s">
        <v>3</v>
      </c>
      <c r="K3" s="385" t="s">
        <v>5</v>
      </c>
    </row>
    <row r="4" spans="2:13">
      <c r="B4" s="383" t="s">
        <v>2</v>
      </c>
      <c r="C4" s="385" t="s">
        <v>8</v>
      </c>
      <c r="D4" s="385" t="s">
        <v>19</v>
      </c>
      <c r="E4" s="385">
        <v>0.35</v>
      </c>
      <c r="F4" s="432">
        <f>I16</f>
        <v>0.17</v>
      </c>
      <c r="G4" s="385" t="s">
        <v>19</v>
      </c>
      <c r="H4" s="385" t="s">
        <v>19</v>
      </c>
      <c r="I4" s="385" t="s">
        <v>19</v>
      </c>
      <c r="J4" s="385" t="s">
        <v>19</v>
      </c>
      <c r="K4" s="385" t="s">
        <v>19</v>
      </c>
    </row>
    <row r="5" spans="2:13" ht="17.25" customHeight="1">
      <c r="B5" s="383" t="s">
        <v>522</v>
      </c>
      <c r="C5" s="390">
        <f>DATOS!D3</f>
        <v>5375066.6600000001</v>
      </c>
      <c r="D5" s="390">
        <f>C5*D16</f>
        <v>1100844.9982506495</v>
      </c>
      <c r="E5" s="390">
        <f>D5*E4</f>
        <v>385295.74938772729</v>
      </c>
      <c r="F5" s="390">
        <f>D5*F4</f>
        <v>187143.64970261045</v>
      </c>
      <c r="G5" s="390">
        <f>C5*D17*0.21</f>
        <v>326064.39094934345</v>
      </c>
      <c r="H5" s="390">
        <f>C5*D19</f>
        <v>44082.997898120193</v>
      </c>
      <c r="I5" s="390">
        <f>C5*D18</f>
        <v>190688.69424516967</v>
      </c>
      <c r="J5" s="390">
        <f>C5*D17</f>
        <v>1552687.5759492547</v>
      </c>
      <c r="K5" s="390">
        <f>D5-(E5+F5)</f>
        <v>528405.59916031174</v>
      </c>
    </row>
    <row r="6" spans="2:13">
      <c r="C6" s="387" t="s">
        <v>506</v>
      </c>
      <c r="D6" s="387" t="s">
        <v>507</v>
      </c>
      <c r="E6" s="387" t="s">
        <v>514</v>
      </c>
      <c r="F6" s="387" t="s">
        <v>515</v>
      </c>
      <c r="G6" s="387" t="s">
        <v>510</v>
      </c>
      <c r="H6" s="387" t="s">
        <v>511</v>
      </c>
      <c r="I6" s="387" t="s">
        <v>512</v>
      </c>
      <c r="J6" s="387" t="s">
        <v>516</v>
      </c>
      <c r="K6" s="387" t="s">
        <v>3378</v>
      </c>
      <c r="L6" s="391"/>
      <c r="M6" s="391"/>
    </row>
    <row r="9" spans="2:13">
      <c r="B9" s="383" t="s">
        <v>22</v>
      </c>
      <c r="C9" s="388">
        <f>E5+F5+G5+H5</f>
        <v>942586.78793780145</v>
      </c>
      <c r="D9" s="389" t="s">
        <v>513</v>
      </c>
    </row>
    <row r="11" spans="2:13">
      <c r="B11" s="383" t="s">
        <v>23</v>
      </c>
      <c r="C11" s="388">
        <f>J5+G5</f>
        <v>1878751.9668985982</v>
      </c>
      <c r="D11" s="389" t="s">
        <v>517</v>
      </c>
    </row>
    <row r="15" spans="2:13" ht="17.25" customHeight="1">
      <c r="B15" s="734" t="s">
        <v>518</v>
      </c>
      <c r="C15" s="735"/>
      <c r="D15" s="736"/>
      <c r="G15" s="429" t="s">
        <v>190</v>
      </c>
      <c r="H15" s="429" t="s">
        <v>3445</v>
      </c>
      <c r="I15" s="429" t="s">
        <v>3377</v>
      </c>
    </row>
    <row r="16" spans="2:13" ht="17.25" customHeight="1">
      <c r="B16" s="733" t="s">
        <v>15</v>
      </c>
      <c r="C16" s="733"/>
      <c r="D16" s="392">
        <f>K24</f>
        <v>0.20480583179421435</v>
      </c>
      <c r="G16" s="430">
        <f>G24</f>
        <v>40085.521174091169</v>
      </c>
      <c r="H16" s="430">
        <f>G16-(G16*33%)</f>
        <v>26857.299186641081</v>
      </c>
      <c r="I16" s="431">
        <v>0.17</v>
      </c>
    </row>
    <row r="17" spans="1:12" ht="17.25" customHeight="1">
      <c r="B17" s="733" t="s">
        <v>3</v>
      </c>
      <c r="C17" s="733"/>
      <c r="D17" s="392">
        <f>L24</f>
        <v>0.28886852464621426</v>
      </c>
      <c r="E17" s="395"/>
    </row>
    <row r="18" spans="1:12" ht="17.25" customHeight="1">
      <c r="B18" s="733" t="s">
        <v>387</v>
      </c>
      <c r="C18" s="733"/>
      <c r="D18" s="392">
        <f>J24</f>
        <v>3.5476526396264203E-2</v>
      </c>
      <c r="E18" s="395"/>
    </row>
    <row r="19" spans="1:12" ht="17.25" customHeight="1">
      <c r="B19" s="733" t="s">
        <v>388</v>
      </c>
      <c r="C19" s="733"/>
      <c r="D19" s="392">
        <f>I24</f>
        <v>8.201386268597493E-3</v>
      </c>
      <c r="E19" s="395"/>
      <c r="G19" s="394"/>
    </row>
    <row r="20" spans="1:12" ht="17.25" customHeight="1">
      <c r="B20" s="396"/>
      <c r="E20" s="395"/>
    </row>
    <row r="22" spans="1:12">
      <c r="B22" s="213" t="s">
        <v>101</v>
      </c>
      <c r="C22" s="213" t="s">
        <v>102</v>
      </c>
      <c r="D22" s="213" t="s">
        <v>103</v>
      </c>
    </row>
    <row r="23" spans="1:12" ht="54">
      <c r="A23" s="212"/>
      <c r="B23" s="423"/>
      <c r="C23" s="423"/>
      <c r="D23" s="423"/>
      <c r="E23" s="213" t="s">
        <v>104</v>
      </c>
      <c r="F23" s="214" t="s">
        <v>1568</v>
      </c>
      <c r="G23" s="214" t="s">
        <v>105</v>
      </c>
      <c r="H23" s="214" t="s">
        <v>106</v>
      </c>
      <c r="I23" s="214" t="s">
        <v>1569</v>
      </c>
      <c r="J23" s="214" t="s">
        <v>1570</v>
      </c>
      <c r="K23" s="214" t="s">
        <v>107</v>
      </c>
      <c r="L23" s="214" t="s">
        <v>108</v>
      </c>
    </row>
    <row r="24" spans="1:12" s="406" customFormat="1" ht="15">
      <c r="A24" s="422"/>
      <c r="B24" s="423"/>
      <c r="C24" s="423"/>
      <c r="D24" s="423"/>
      <c r="E24" s="423"/>
      <c r="F24" s="424"/>
      <c r="G24" s="427">
        <f>(K25/H25)*1000</f>
        <v>40085.521174091169</v>
      </c>
      <c r="H24" s="426"/>
      <c r="I24" s="426">
        <f>I25/$G$25</f>
        <v>8.201386268597493E-3</v>
      </c>
      <c r="J24" s="426">
        <f>J25/$G$25</f>
        <v>3.5476526396264203E-2</v>
      </c>
      <c r="K24" s="426">
        <f>K25/$G$25</f>
        <v>0.20480583179421435</v>
      </c>
      <c r="L24" s="426">
        <f>L25/$G$25</f>
        <v>0.28886852464621426</v>
      </c>
    </row>
    <row r="25" spans="1:12" s="406" customFormat="1" ht="15">
      <c r="A25" s="422"/>
      <c r="B25" s="135"/>
      <c r="C25" s="136"/>
      <c r="D25" s="136"/>
      <c r="E25" s="423"/>
      <c r="F25" s="424"/>
      <c r="G25" s="425">
        <f t="shared" ref="G25:L25" si="0">SUM(G26:G916)</f>
        <v>12082465.481771018</v>
      </c>
      <c r="H25" s="425">
        <f t="shared" si="0"/>
        <v>61732</v>
      </c>
      <c r="I25" s="425">
        <f t="shared" si="0"/>
        <v>99092.966493000014</v>
      </c>
      <c r="J25" s="425">
        <f t="shared" si="0"/>
        <v>428643.90559600061</v>
      </c>
      <c r="K25" s="425">
        <f t="shared" si="0"/>
        <v>2474559.3931189962</v>
      </c>
      <c r="L25" s="425">
        <f t="shared" si="0"/>
        <v>3490243.9778080047</v>
      </c>
    </row>
    <row r="26" spans="1:12" hidden="1">
      <c r="A26" s="136"/>
      <c r="B26" s="137"/>
      <c r="C26" s="138"/>
      <c r="D26" s="138"/>
      <c r="E26" s="136"/>
      <c r="F26" s="419"/>
      <c r="G26" s="140"/>
      <c r="H26" s="140"/>
      <c r="I26" s="140"/>
      <c r="J26" s="140"/>
      <c r="K26" s="140"/>
      <c r="L26" s="140"/>
    </row>
    <row r="27" spans="1:12" hidden="1">
      <c r="A27" s="138"/>
      <c r="B27" s="135"/>
      <c r="C27" s="136"/>
      <c r="D27" s="136"/>
      <c r="E27" s="138"/>
      <c r="F27" s="420"/>
      <c r="G27" s="141"/>
      <c r="H27" s="141"/>
      <c r="I27" s="142"/>
      <c r="J27" s="141"/>
      <c r="K27" s="142"/>
      <c r="L27" s="141"/>
    </row>
    <row r="28" spans="1:12" hidden="1">
      <c r="A28" s="136"/>
      <c r="B28" s="137"/>
      <c r="C28" s="138"/>
      <c r="D28" s="138"/>
      <c r="E28" s="136"/>
      <c r="F28" s="419"/>
      <c r="G28" s="140"/>
      <c r="H28" s="140"/>
      <c r="I28" s="140"/>
      <c r="J28" s="140"/>
      <c r="K28" s="140"/>
      <c r="L28" s="140"/>
    </row>
    <row r="29" spans="1:12" hidden="1">
      <c r="A29" s="138"/>
      <c r="B29" s="135"/>
      <c r="C29" s="136"/>
      <c r="D29" s="136"/>
      <c r="E29" s="138"/>
      <c r="F29" s="420"/>
      <c r="G29" s="141"/>
      <c r="H29" s="141"/>
      <c r="I29" s="141"/>
      <c r="J29" s="141"/>
      <c r="K29" s="141"/>
      <c r="L29" s="141"/>
    </row>
    <row r="30" spans="1:12" hidden="1">
      <c r="A30" s="136"/>
      <c r="B30" s="137"/>
      <c r="C30" s="138"/>
      <c r="D30" s="138"/>
      <c r="E30" s="136"/>
      <c r="F30" s="419"/>
      <c r="G30" s="140"/>
      <c r="H30" s="140"/>
      <c r="I30" s="140"/>
      <c r="J30" s="140"/>
      <c r="K30" s="140"/>
      <c r="L30" s="140"/>
    </row>
    <row r="31" spans="1:12" hidden="1">
      <c r="A31" s="138"/>
      <c r="B31" s="135"/>
      <c r="C31" s="136"/>
      <c r="D31" s="136"/>
      <c r="E31" s="138"/>
      <c r="F31" s="420"/>
      <c r="G31" s="141"/>
      <c r="H31" s="141"/>
      <c r="I31" s="141"/>
      <c r="J31" s="141"/>
      <c r="K31" s="141"/>
      <c r="L31" s="141"/>
    </row>
    <row r="32" spans="1:12" ht="42" hidden="1">
      <c r="A32" s="136"/>
      <c r="B32" s="137" t="s">
        <v>1574</v>
      </c>
      <c r="C32" s="138" t="s">
        <v>819</v>
      </c>
      <c r="D32" s="138" t="s">
        <v>811</v>
      </c>
      <c r="E32" s="136"/>
      <c r="F32" s="419"/>
      <c r="G32" s="140"/>
      <c r="H32" s="140"/>
      <c r="I32" s="140"/>
      <c r="J32" s="140"/>
      <c r="K32" s="140"/>
      <c r="L32" s="140"/>
    </row>
    <row r="33" spans="1:12">
      <c r="A33" s="138" t="s">
        <v>197</v>
      </c>
      <c r="B33" s="135" t="s">
        <v>1575</v>
      </c>
      <c r="C33" s="136" t="s">
        <v>949</v>
      </c>
      <c r="D33" s="136" t="s">
        <v>1576</v>
      </c>
      <c r="E33" s="138" t="s">
        <v>1571</v>
      </c>
      <c r="F33" s="420">
        <v>43220</v>
      </c>
      <c r="G33" s="141">
        <v>843015</v>
      </c>
      <c r="H33" s="141">
        <v>301</v>
      </c>
      <c r="I33" s="141"/>
      <c r="J33" s="141">
        <v>-11403</v>
      </c>
      <c r="K33" s="141">
        <v>21478</v>
      </c>
      <c r="L33" s="141">
        <v>21097</v>
      </c>
    </row>
    <row r="34" spans="1:12" ht="21">
      <c r="A34" s="136" t="s">
        <v>198</v>
      </c>
      <c r="B34" s="137" t="s">
        <v>1577</v>
      </c>
      <c r="C34" s="138" t="s">
        <v>1331</v>
      </c>
      <c r="D34" s="138" t="s">
        <v>188</v>
      </c>
      <c r="E34" s="136" t="s">
        <v>1571</v>
      </c>
      <c r="F34" s="419">
        <v>43100</v>
      </c>
      <c r="G34" s="140">
        <v>507124</v>
      </c>
      <c r="H34" s="140">
        <v>2404</v>
      </c>
      <c r="I34" s="140">
        <v>8301</v>
      </c>
      <c r="J34" s="140">
        <v>51152</v>
      </c>
      <c r="K34" s="140">
        <v>130223</v>
      </c>
      <c r="L34" s="140">
        <v>197603</v>
      </c>
    </row>
    <row r="35" spans="1:12" ht="21">
      <c r="A35" s="138" t="s">
        <v>199</v>
      </c>
      <c r="B35" s="135" t="s">
        <v>1578</v>
      </c>
      <c r="C35" s="136" t="s">
        <v>1053</v>
      </c>
      <c r="D35" s="136" t="s">
        <v>713</v>
      </c>
      <c r="E35" s="138" t="s">
        <v>1571</v>
      </c>
      <c r="F35" s="420">
        <v>43100</v>
      </c>
      <c r="G35" s="141">
        <v>434888.163</v>
      </c>
      <c r="H35" s="141">
        <v>1864</v>
      </c>
      <c r="I35" s="141">
        <v>675.16499999999996</v>
      </c>
      <c r="J35" s="141">
        <v>-2557.65</v>
      </c>
      <c r="K35" s="141">
        <v>61520.075000000004</v>
      </c>
      <c r="L35" s="141">
        <v>83618.856</v>
      </c>
    </row>
    <row r="36" spans="1:12" ht="21">
      <c r="A36" s="136" t="s">
        <v>200</v>
      </c>
      <c r="B36" s="137" t="s">
        <v>1579</v>
      </c>
      <c r="C36" s="138" t="s">
        <v>972</v>
      </c>
      <c r="D36" s="138" t="s">
        <v>188</v>
      </c>
      <c r="E36" s="136" t="s">
        <v>1571</v>
      </c>
      <c r="F36" s="419">
        <v>43100</v>
      </c>
      <c r="G36" s="140">
        <v>331534.57387000002</v>
      </c>
      <c r="H36" s="140">
        <v>1627</v>
      </c>
      <c r="I36" s="140">
        <v>1822.9294600000001</v>
      </c>
      <c r="J36" s="140">
        <v>7097.4498199999998</v>
      </c>
      <c r="K36" s="140">
        <v>56719.944200000005</v>
      </c>
      <c r="L36" s="140">
        <v>72552.054149999996</v>
      </c>
    </row>
    <row r="37" spans="1:12">
      <c r="A37" s="138" t="s">
        <v>201</v>
      </c>
      <c r="B37" s="135" t="s">
        <v>1581</v>
      </c>
      <c r="C37" s="136" t="s">
        <v>1055</v>
      </c>
      <c r="D37" s="136" t="s">
        <v>971</v>
      </c>
      <c r="E37" s="138" t="s">
        <v>1571</v>
      </c>
      <c r="F37" s="420">
        <v>43100</v>
      </c>
      <c r="G37" s="141">
        <v>318674.03899999999</v>
      </c>
      <c r="H37" s="141">
        <v>962</v>
      </c>
      <c r="I37" s="141">
        <v>3357.3519999999999</v>
      </c>
      <c r="J37" s="141">
        <v>5618.1120000000001</v>
      </c>
      <c r="K37" s="141">
        <v>47674.567000000003</v>
      </c>
      <c r="L37" s="141">
        <v>57995.718000000001</v>
      </c>
    </row>
    <row r="38" spans="1:12" ht="21">
      <c r="A38" s="136" t="s">
        <v>1580</v>
      </c>
      <c r="B38" s="137" t="s">
        <v>1583</v>
      </c>
      <c r="C38" s="138" t="s">
        <v>1092</v>
      </c>
      <c r="D38" s="138" t="s">
        <v>1584</v>
      </c>
      <c r="E38" s="136" t="s">
        <v>1571</v>
      </c>
      <c r="F38" s="419">
        <v>43100</v>
      </c>
      <c r="G38" s="140">
        <v>317396</v>
      </c>
      <c r="H38" s="140">
        <v>334</v>
      </c>
      <c r="I38" s="140">
        <v>13831</v>
      </c>
      <c r="J38" s="140">
        <v>77112</v>
      </c>
      <c r="K38" s="140">
        <v>24948</v>
      </c>
      <c r="L38" s="140">
        <v>232126</v>
      </c>
    </row>
    <row r="39" spans="1:12" ht="31.5">
      <c r="A39" s="138" t="s">
        <v>1582</v>
      </c>
      <c r="B39" s="135" t="s">
        <v>1586</v>
      </c>
      <c r="C39" s="136" t="s">
        <v>1083</v>
      </c>
      <c r="D39" s="136" t="s">
        <v>969</v>
      </c>
      <c r="E39" s="138" t="s">
        <v>1571</v>
      </c>
      <c r="F39" s="420">
        <v>43100</v>
      </c>
      <c r="G39" s="141">
        <v>281607</v>
      </c>
      <c r="H39" s="141">
        <v>2374</v>
      </c>
      <c r="I39" s="141"/>
      <c r="J39" s="141">
        <v>15609</v>
      </c>
      <c r="K39" s="141">
        <v>102895</v>
      </c>
      <c r="L39" s="141">
        <v>119237</v>
      </c>
    </row>
    <row r="40" spans="1:12" ht="42">
      <c r="A40" s="136" t="s">
        <v>1585</v>
      </c>
      <c r="B40" s="137" t="s">
        <v>1588</v>
      </c>
      <c r="C40" s="138" t="s">
        <v>897</v>
      </c>
      <c r="D40" s="138" t="s">
        <v>1312</v>
      </c>
      <c r="E40" s="136" t="s">
        <v>1571</v>
      </c>
      <c r="F40" s="419">
        <v>43100</v>
      </c>
      <c r="G40" s="140">
        <v>265358.08199999999</v>
      </c>
      <c r="H40" s="140">
        <v>1765</v>
      </c>
      <c r="I40" s="140">
        <v>2188.9290000000001</v>
      </c>
      <c r="J40" s="140">
        <v>5111.6410000000005</v>
      </c>
      <c r="K40" s="140">
        <v>80056.224000000002</v>
      </c>
      <c r="L40" s="140">
        <v>114732.607</v>
      </c>
    </row>
    <row r="41" spans="1:12" ht="21">
      <c r="A41" s="138" t="s">
        <v>1587</v>
      </c>
      <c r="B41" s="135" t="s">
        <v>1590</v>
      </c>
      <c r="C41" s="136" t="s">
        <v>1435</v>
      </c>
      <c r="D41" s="136" t="s">
        <v>188</v>
      </c>
      <c r="E41" s="138" t="s">
        <v>1571</v>
      </c>
      <c r="F41" s="420">
        <v>43100</v>
      </c>
      <c r="G41" s="141">
        <v>262794.40549999999</v>
      </c>
      <c r="H41" s="141">
        <v>1471</v>
      </c>
      <c r="I41" s="141">
        <v>162.02963</v>
      </c>
      <c r="J41" s="141">
        <v>2352.5394699999997</v>
      </c>
      <c r="K41" s="141">
        <v>41807.430349999995</v>
      </c>
      <c r="L41" s="141">
        <v>50886.295870000002</v>
      </c>
    </row>
    <row r="42" spans="1:12" ht="21">
      <c r="A42" s="136" t="s">
        <v>1589</v>
      </c>
      <c r="B42" s="137" t="s">
        <v>1592</v>
      </c>
      <c r="C42" s="138" t="s">
        <v>808</v>
      </c>
      <c r="D42" s="138" t="s">
        <v>800</v>
      </c>
      <c r="E42" s="136" t="s">
        <v>1571</v>
      </c>
      <c r="F42" s="419">
        <v>43100</v>
      </c>
      <c r="G42" s="140">
        <v>246446</v>
      </c>
      <c r="H42" s="140">
        <v>1493</v>
      </c>
      <c r="I42" s="140">
        <v>4659</v>
      </c>
      <c r="J42" s="140">
        <v>10367</v>
      </c>
      <c r="K42" s="140">
        <v>62307</v>
      </c>
      <c r="L42" s="140">
        <v>95451</v>
      </c>
    </row>
    <row r="43" spans="1:12" ht="21">
      <c r="A43" s="138" t="s">
        <v>1591</v>
      </c>
      <c r="B43" s="135" t="s">
        <v>1594</v>
      </c>
      <c r="C43" s="136" t="s">
        <v>665</v>
      </c>
      <c r="D43" s="136" t="s">
        <v>1595</v>
      </c>
      <c r="E43" s="138" t="s">
        <v>1571</v>
      </c>
      <c r="F43" s="420">
        <v>43100</v>
      </c>
      <c r="G43" s="141">
        <v>226695.144</v>
      </c>
      <c r="H43" s="141">
        <v>555</v>
      </c>
      <c r="I43" s="141">
        <v>1136.732</v>
      </c>
      <c r="J43" s="141">
        <v>4140.1469999999999</v>
      </c>
      <c r="K43" s="141">
        <v>32895.978000000003</v>
      </c>
      <c r="L43" s="141">
        <v>42749.892</v>
      </c>
    </row>
    <row r="44" spans="1:12" ht="21">
      <c r="A44" s="136" t="s">
        <v>1593</v>
      </c>
      <c r="B44" s="137" t="s">
        <v>1597</v>
      </c>
      <c r="C44" s="138" t="s">
        <v>877</v>
      </c>
      <c r="D44" s="138" t="s">
        <v>1573</v>
      </c>
      <c r="E44" s="136" t="s">
        <v>1571</v>
      </c>
      <c r="F44" s="419">
        <v>43100</v>
      </c>
      <c r="G44" s="140">
        <v>219811.82816999999</v>
      </c>
      <c r="H44" s="140">
        <v>2288</v>
      </c>
      <c r="I44" s="140">
        <v>702.91451000000006</v>
      </c>
      <c r="J44" s="140">
        <v>6253.3565700000008</v>
      </c>
      <c r="K44" s="140">
        <v>55259.108070000002</v>
      </c>
      <c r="L44" s="140">
        <v>67680.850949000014</v>
      </c>
    </row>
    <row r="45" spans="1:12" ht="42">
      <c r="A45" s="138" t="s">
        <v>1596</v>
      </c>
      <c r="B45" s="135" t="s">
        <v>1599</v>
      </c>
      <c r="C45" s="136" t="s">
        <v>1376</v>
      </c>
      <c r="D45" s="136" t="s">
        <v>1375</v>
      </c>
      <c r="E45" s="138" t="s">
        <v>1571</v>
      </c>
      <c r="F45" s="420">
        <v>43100</v>
      </c>
      <c r="G45" s="141">
        <v>184207</v>
      </c>
      <c r="H45" s="141">
        <v>1075</v>
      </c>
      <c r="I45" s="141">
        <v>555</v>
      </c>
      <c r="J45" s="141">
        <v>-1224</v>
      </c>
      <c r="K45" s="141">
        <v>53400</v>
      </c>
      <c r="L45" s="141">
        <v>58709</v>
      </c>
    </row>
    <row r="46" spans="1:12" ht="21">
      <c r="A46" s="136" t="s">
        <v>1598</v>
      </c>
      <c r="B46" s="137" t="s">
        <v>1601</v>
      </c>
      <c r="C46" s="138" t="s">
        <v>768</v>
      </c>
      <c r="D46" s="138" t="s">
        <v>1602</v>
      </c>
      <c r="E46" s="136" t="s">
        <v>1571</v>
      </c>
      <c r="F46" s="419">
        <v>43100</v>
      </c>
      <c r="G46" s="140">
        <v>175339.91978</v>
      </c>
      <c r="H46" s="140">
        <v>140</v>
      </c>
      <c r="I46" s="140"/>
      <c r="J46" s="140">
        <v>70.955560000000006</v>
      </c>
      <c r="K46" s="140">
        <v>5606.1889000000001</v>
      </c>
      <c r="L46" s="140">
        <v>6362.0673700000007</v>
      </c>
    </row>
    <row r="47" spans="1:12" ht="21">
      <c r="A47" s="138" t="s">
        <v>1600</v>
      </c>
      <c r="B47" s="135" t="s">
        <v>1604</v>
      </c>
      <c r="C47" s="136" t="s">
        <v>1410</v>
      </c>
      <c r="D47" s="136" t="s">
        <v>1409</v>
      </c>
      <c r="E47" s="138" t="s">
        <v>1571</v>
      </c>
      <c r="F47" s="420">
        <v>43100</v>
      </c>
      <c r="G47" s="141">
        <v>170665.79300000001</v>
      </c>
      <c r="H47" s="141">
        <v>1682</v>
      </c>
      <c r="I47" s="141">
        <v>2313.4369999999999</v>
      </c>
      <c r="J47" s="141">
        <v>6854.4180000000006</v>
      </c>
      <c r="K47" s="141">
        <v>59015.976999999999</v>
      </c>
      <c r="L47" s="141">
        <v>73119.096999999994</v>
      </c>
    </row>
    <row r="48" spans="1:12" ht="42">
      <c r="A48" s="136" t="s">
        <v>1603</v>
      </c>
      <c r="B48" s="137" t="s">
        <v>1606</v>
      </c>
      <c r="C48" s="138" t="s">
        <v>867</v>
      </c>
      <c r="D48" s="138" t="s">
        <v>1607</v>
      </c>
      <c r="E48" s="136" t="s">
        <v>1571</v>
      </c>
      <c r="F48" s="419">
        <v>43100</v>
      </c>
      <c r="G48" s="140">
        <v>169577</v>
      </c>
      <c r="H48" s="140">
        <v>554</v>
      </c>
      <c r="I48" s="140">
        <v>58</v>
      </c>
      <c r="J48" s="140">
        <v>6441</v>
      </c>
      <c r="K48" s="140">
        <v>27889</v>
      </c>
      <c r="L48" s="140">
        <v>38665</v>
      </c>
    </row>
    <row r="49" spans="1:12" ht="31.5">
      <c r="A49" s="138" t="s">
        <v>1605</v>
      </c>
      <c r="B49" s="135" t="s">
        <v>1609</v>
      </c>
      <c r="C49" s="136" t="s">
        <v>1476</v>
      </c>
      <c r="D49" s="136" t="s">
        <v>1448</v>
      </c>
      <c r="E49" s="138" t="s">
        <v>1571</v>
      </c>
      <c r="F49" s="420">
        <v>42735</v>
      </c>
      <c r="G49" s="141">
        <v>167247</v>
      </c>
      <c r="H49" s="141">
        <v>1110</v>
      </c>
      <c r="I49" s="141"/>
      <c r="J49" s="141">
        <v>991</v>
      </c>
      <c r="K49" s="141">
        <v>36443</v>
      </c>
      <c r="L49" s="141">
        <v>40110</v>
      </c>
    </row>
    <row r="50" spans="1:12" ht="42">
      <c r="A50" s="136" t="s">
        <v>1608</v>
      </c>
      <c r="B50" s="139" t="s">
        <v>1611</v>
      </c>
      <c r="C50" s="138" t="s">
        <v>1063</v>
      </c>
      <c r="D50" s="138" t="s">
        <v>1312</v>
      </c>
      <c r="E50" s="136" t="s">
        <v>1571</v>
      </c>
      <c r="F50" s="419">
        <v>43100</v>
      </c>
      <c r="G50" s="140">
        <v>165656.753</v>
      </c>
      <c r="H50" s="140">
        <v>867</v>
      </c>
      <c r="I50" s="140">
        <v>684.702</v>
      </c>
      <c r="J50" s="140">
        <v>1745.1970000000001</v>
      </c>
      <c r="K50" s="140">
        <v>16796.84</v>
      </c>
      <c r="L50" s="140">
        <v>23695.457000000002</v>
      </c>
    </row>
    <row r="51" spans="1:12" ht="31.5">
      <c r="A51" s="138" t="s">
        <v>1610</v>
      </c>
      <c r="B51" s="135" t="s">
        <v>1613</v>
      </c>
      <c r="C51" s="136" t="s">
        <v>743</v>
      </c>
      <c r="D51" s="136" t="s">
        <v>744</v>
      </c>
      <c r="E51" s="138" t="s">
        <v>1571</v>
      </c>
      <c r="F51" s="420">
        <v>42735</v>
      </c>
      <c r="G51" s="141">
        <v>154379.99310999998</v>
      </c>
      <c r="H51" s="141">
        <v>719</v>
      </c>
      <c r="I51" s="141"/>
      <c r="J51" s="141">
        <v>-9.8692800000000016</v>
      </c>
      <c r="K51" s="141">
        <v>22825.33956</v>
      </c>
      <c r="L51" s="141">
        <v>27775.922989999999</v>
      </c>
    </row>
    <row r="52" spans="1:12" ht="21">
      <c r="A52" s="136" t="s">
        <v>1612</v>
      </c>
      <c r="B52" s="137" t="s">
        <v>1615</v>
      </c>
      <c r="C52" s="138" t="s">
        <v>723</v>
      </c>
      <c r="D52" s="138" t="s">
        <v>1616</v>
      </c>
      <c r="E52" s="136" t="s">
        <v>1571</v>
      </c>
      <c r="F52" s="419">
        <v>43100</v>
      </c>
      <c r="G52" s="140">
        <v>154188</v>
      </c>
      <c r="H52" s="140">
        <v>864</v>
      </c>
      <c r="I52" s="140">
        <v>5</v>
      </c>
      <c r="J52" s="140">
        <v>11577</v>
      </c>
      <c r="K52" s="140">
        <v>39768</v>
      </c>
      <c r="L52" s="140">
        <v>54309</v>
      </c>
    </row>
    <row r="53" spans="1:12" ht="42">
      <c r="A53" s="138" t="s">
        <v>1614</v>
      </c>
      <c r="B53" s="135" t="s">
        <v>1618</v>
      </c>
      <c r="C53" s="136" t="s">
        <v>1052</v>
      </c>
      <c r="D53" s="136" t="s">
        <v>1619</v>
      </c>
      <c r="E53" s="138" t="s">
        <v>1571</v>
      </c>
      <c r="F53" s="420">
        <v>43100</v>
      </c>
      <c r="G53" s="141">
        <v>142822.476</v>
      </c>
      <c r="H53" s="141">
        <v>161</v>
      </c>
      <c r="I53" s="142" t="s">
        <v>189</v>
      </c>
      <c r="J53" s="141">
        <v>2157.4520000000002</v>
      </c>
      <c r="K53" s="141">
        <v>7807.71</v>
      </c>
      <c r="L53" s="141">
        <v>13286.228000000001</v>
      </c>
    </row>
    <row r="54" spans="1:12" ht="31.5">
      <c r="A54" s="136" t="s">
        <v>1617</v>
      </c>
      <c r="B54" s="137" t="s">
        <v>1621</v>
      </c>
      <c r="C54" s="138" t="s">
        <v>652</v>
      </c>
      <c r="D54" s="138" t="s">
        <v>1622</v>
      </c>
      <c r="E54" s="136" t="s">
        <v>1571</v>
      </c>
      <c r="F54" s="419">
        <v>42825</v>
      </c>
      <c r="G54" s="140">
        <v>136522.63800000001</v>
      </c>
      <c r="H54" s="140">
        <v>413</v>
      </c>
      <c r="I54" s="140">
        <v>1469.3389999999999</v>
      </c>
      <c r="J54" s="140">
        <v>4404.9920000000002</v>
      </c>
      <c r="K54" s="140">
        <v>19700.941999999999</v>
      </c>
      <c r="L54" s="140">
        <v>30034.063000000002</v>
      </c>
    </row>
    <row r="55" spans="1:12" ht="52.5">
      <c r="A55" s="138" t="s">
        <v>1620</v>
      </c>
      <c r="B55" s="421" t="s">
        <v>1624</v>
      </c>
      <c r="C55" s="136" t="s">
        <v>932</v>
      </c>
      <c r="D55" s="136" t="s">
        <v>1625</v>
      </c>
      <c r="E55" s="138" t="s">
        <v>1571</v>
      </c>
      <c r="F55" s="420">
        <v>42916</v>
      </c>
      <c r="G55" s="141">
        <v>133479.32800000001</v>
      </c>
      <c r="H55" s="141">
        <v>416</v>
      </c>
      <c r="I55" s="141">
        <v>1493.3340000000001</v>
      </c>
      <c r="J55" s="141">
        <v>4647.5749999999998</v>
      </c>
      <c r="K55" s="141">
        <v>20303.879000000001</v>
      </c>
      <c r="L55" s="141">
        <v>33821.353999999999</v>
      </c>
    </row>
    <row r="56" spans="1:12" ht="21">
      <c r="A56" s="136" t="s">
        <v>1623</v>
      </c>
      <c r="B56" s="137" t="s">
        <v>1627</v>
      </c>
      <c r="C56" s="138" t="s">
        <v>655</v>
      </c>
      <c r="D56" s="138" t="s">
        <v>1622</v>
      </c>
      <c r="E56" s="136" t="s">
        <v>1571</v>
      </c>
      <c r="F56" s="419">
        <v>42735</v>
      </c>
      <c r="G56" s="140">
        <v>131846.90135</v>
      </c>
      <c r="H56" s="140">
        <v>2096</v>
      </c>
      <c r="I56" s="140"/>
      <c r="J56" s="140">
        <v>2420.3868400000001</v>
      </c>
      <c r="K56" s="140">
        <v>89100.454180000001</v>
      </c>
      <c r="L56" s="140">
        <v>95281.381900000008</v>
      </c>
    </row>
    <row r="57" spans="1:12">
      <c r="A57" s="138" t="s">
        <v>1626</v>
      </c>
      <c r="B57" s="135" t="s">
        <v>1629</v>
      </c>
      <c r="C57" s="136" t="s">
        <v>814</v>
      </c>
      <c r="D57" s="136" t="s">
        <v>1572</v>
      </c>
      <c r="E57" s="138" t="s">
        <v>1571</v>
      </c>
      <c r="F57" s="420">
        <v>43100</v>
      </c>
      <c r="G57" s="141">
        <v>124440.40151000001</v>
      </c>
      <c r="H57" s="141">
        <v>322</v>
      </c>
      <c r="I57" s="141">
        <v>1841.2865200000001</v>
      </c>
      <c r="J57" s="141">
        <v>4227.7496499999997</v>
      </c>
      <c r="K57" s="141">
        <v>13074.683419999999</v>
      </c>
      <c r="L57" s="141">
        <v>20033.738670000002</v>
      </c>
    </row>
    <row r="58" spans="1:12" ht="52.5">
      <c r="A58" s="136" t="s">
        <v>1628</v>
      </c>
      <c r="B58" s="137" t="s">
        <v>1631</v>
      </c>
      <c r="C58" s="138" t="s">
        <v>830</v>
      </c>
      <c r="D58" s="138" t="s">
        <v>811</v>
      </c>
      <c r="E58" s="136" t="s">
        <v>1571</v>
      </c>
      <c r="F58" s="419">
        <v>43100</v>
      </c>
      <c r="G58" s="140">
        <v>124172.29029999999</v>
      </c>
      <c r="H58" s="140">
        <v>335</v>
      </c>
      <c r="I58" s="140">
        <v>494.00931000000003</v>
      </c>
      <c r="J58" s="140">
        <v>1966.4214299999999</v>
      </c>
      <c r="K58" s="140">
        <v>13648.845580000001</v>
      </c>
      <c r="L58" s="140">
        <v>16700.042389000002</v>
      </c>
    </row>
    <row r="59" spans="1:12" ht="31.5">
      <c r="A59" s="138" t="s">
        <v>1630</v>
      </c>
      <c r="B59" s="135" t="s">
        <v>1633</v>
      </c>
      <c r="C59" s="136" t="s">
        <v>1560</v>
      </c>
      <c r="D59" s="136" t="s">
        <v>1279</v>
      </c>
      <c r="E59" s="138" t="s">
        <v>1571</v>
      </c>
      <c r="F59" s="420">
        <v>43100</v>
      </c>
      <c r="G59" s="141">
        <v>122886.95539</v>
      </c>
      <c r="H59" s="141">
        <v>504</v>
      </c>
      <c r="I59" s="141">
        <v>1042.35257</v>
      </c>
      <c r="J59" s="141">
        <v>2999.5582600000002</v>
      </c>
      <c r="K59" s="141">
        <v>21602.227449999998</v>
      </c>
      <c r="L59" s="141">
        <v>26746.802048999998</v>
      </c>
    </row>
    <row r="60" spans="1:12" ht="21">
      <c r="A60" s="136" t="s">
        <v>1632</v>
      </c>
      <c r="B60" s="137" t="s">
        <v>1635</v>
      </c>
      <c r="C60" s="138" t="s">
        <v>742</v>
      </c>
      <c r="D60" s="138" t="s">
        <v>744</v>
      </c>
      <c r="E60" s="136" t="s">
        <v>1571</v>
      </c>
      <c r="F60" s="419">
        <v>43131</v>
      </c>
      <c r="G60" s="140">
        <v>120766</v>
      </c>
      <c r="H60" s="140">
        <v>799</v>
      </c>
      <c r="I60" s="140">
        <v>1675</v>
      </c>
      <c r="J60" s="140">
        <v>3348</v>
      </c>
      <c r="K60" s="140">
        <v>17061</v>
      </c>
      <c r="L60" s="140">
        <v>24620</v>
      </c>
    </row>
    <row r="61" spans="1:12">
      <c r="A61" s="138" t="s">
        <v>1634</v>
      </c>
      <c r="B61" s="135" t="s">
        <v>1637</v>
      </c>
      <c r="C61" s="136" t="s">
        <v>1561</v>
      </c>
      <c r="D61" s="136" t="s">
        <v>686</v>
      </c>
      <c r="E61" s="138" t="s">
        <v>1571</v>
      </c>
      <c r="F61" s="420">
        <v>43100</v>
      </c>
      <c r="G61" s="141">
        <v>114128</v>
      </c>
      <c r="H61" s="141">
        <v>406</v>
      </c>
      <c r="I61" s="141">
        <v>411</v>
      </c>
      <c r="J61" s="141">
        <v>1533</v>
      </c>
      <c r="K61" s="141">
        <v>19769</v>
      </c>
      <c r="L61" s="141">
        <v>26312</v>
      </c>
    </row>
    <row r="62" spans="1:12">
      <c r="A62" s="136" t="s">
        <v>1636</v>
      </c>
      <c r="B62" s="137" t="s">
        <v>1639</v>
      </c>
      <c r="C62" s="138" t="s">
        <v>1077</v>
      </c>
      <c r="D62" s="138" t="s">
        <v>188</v>
      </c>
      <c r="E62" s="136" t="s">
        <v>1571</v>
      </c>
      <c r="F62" s="419">
        <v>43100</v>
      </c>
      <c r="G62" s="140">
        <v>103527.70984000001</v>
      </c>
      <c r="H62" s="140">
        <v>106</v>
      </c>
      <c r="I62" s="140">
        <v>259.81925000000001</v>
      </c>
      <c r="J62" s="140">
        <v>673.13489000000004</v>
      </c>
      <c r="K62" s="140">
        <v>3514.6216400000003</v>
      </c>
      <c r="L62" s="140">
        <v>4695.1382800000001</v>
      </c>
    </row>
    <row r="63" spans="1:12" ht="31.5">
      <c r="A63" s="138" t="s">
        <v>1638</v>
      </c>
      <c r="B63" s="135" t="s">
        <v>1641</v>
      </c>
      <c r="C63" s="136" t="s">
        <v>822</v>
      </c>
      <c r="D63" s="136" t="s">
        <v>811</v>
      </c>
      <c r="E63" s="138" t="s">
        <v>1571</v>
      </c>
      <c r="F63" s="420">
        <v>43100</v>
      </c>
      <c r="G63" s="141">
        <v>100416</v>
      </c>
      <c r="H63" s="141">
        <v>1669</v>
      </c>
      <c r="I63" s="141"/>
      <c r="J63" s="141">
        <v>28672</v>
      </c>
      <c r="K63" s="141">
        <v>67521</v>
      </c>
      <c r="L63" s="141">
        <v>97642</v>
      </c>
    </row>
    <row r="64" spans="1:12">
      <c r="A64" s="136" t="s">
        <v>1640</v>
      </c>
      <c r="B64" s="137" t="s">
        <v>1643</v>
      </c>
      <c r="C64" s="138" t="s">
        <v>1446</v>
      </c>
      <c r="D64" s="138" t="s">
        <v>1429</v>
      </c>
      <c r="E64" s="136" t="s">
        <v>1571</v>
      </c>
      <c r="F64" s="419">
        <v>43100</v>
      </c>
      <c r="G64" s="140">
        <v>100305.61544000001</v>
      </c>
      <c r="H64" s="140">
        <v>14</v>
      </c>
      <c r="I64" s="140">
        <v>0.1171</v>
      </c>
      <c r="J64" s="140">
        <v>0.30113000000000001</v>
      </c>
      <c r="K64" s="140">
        <v>924.92530000000011</v>
      </c>
      <c r="L64" s="140">
        <v>955.84486000000015</v>
      </c>
    </row>
    <row r="65" spans="1:12" ht="21">
      <c r="A65" s="138" t="s">
        <v>1642</v>
      </c>
      <c r="B65" s="135" t="s">
        <v>1645</v>
      </c>
      <c r="C65" s="136" t="s">
        <v>730</v>
      </c>
      <c r="D65" s="136" t="s">
        <v>726</v>
      </c>
      <c r="E65" s="138" t="s">
        <v>1571</v>
      </c>
      <c r="F65" s="420">
        <v>42978</v>
      </c>
      <c r="G65" s="141">
        <v>98522</v>
      </c>
      <c r="H65" s="141">
        <v>546</v>
      </c>
      <c r="I65" s="141">
        <v>2372</v>
      </c>
      <c r="J65" s="141">
        <v>6062</v>
      </c>
      <c r="K65" s="141">
        <v>10402</v>
      </c>
      <c r="L65" s="141">
        <v>21606</v>
      </c>
    </row>
    <row r="66" spans="1:12" ht="21">
      <c r="A66" s="136" t="s">
        <v>1644</v>
      </c>
      <c r="B66" s="137" t="s">
        <v>1647</v>
      </c>
      <c r="C66" s="138" t="s">
        <v>1081</v>
      </c>
      <c r="D66" s="138" t="s">
        <v>188</v>
      </c>
      <c r="E66" s="136" t="s">
        <v>1571</v>
      </c>
      <c r="F66" s="419">
        <v>43100</v>
      </c>
      <c r="G66" s="140">
        <v>98270</v>
      </c>
      <c r="H66" s="140">
        <v>364</v>
      </c>
      <c r="I66" s="140">
        <v>2796</v>
      </c>
      <c r="J66" s="140">
        <v>3587</v>
      </c>
      <c r="K66" s="140">
        <v>26119</v>
      </c>
      <c r="L66" s="140">
        <v>39040</v>
      </c>
    </row>
    <row r="67" spans="1:12" ht="31.5">
      <c r="A67" s="138" t="s">
        <v>1646</v>
      </c>
      <c r="B67" s="135" t="s">
        <v>1649</v>
      </c>
      <c r="C67" s="136" t="s">
        <v>1155</v>
      </c>
      <c r="D67" s="136" t="s">
        <v>1156</v>
      </c>
      <c r="E67" s="138" t="s">
        <v>1571</v>
      </c>
      <c r="F67" s="420">
        <v>42735</v>
      </c>
      <c r="G67" s="141">
        <v>93151.115000000005</v>
      </c>
      <c r="H67" s="141">
        <v>768</v>
      </c>
      <c r="I67" s="141">
        <v>1046.2650000000001</v>
      </c>
      <c r="J67" s="141">
        <v>37537.182999999997</v>
      </c>
      <c r="K67" s="141">
        <v>34584.044000000002</v>
      </c>
      <c r="L67" s="141">
        <v>81775.944000000003</v>
      </c>
    </row>
    <row r="68" spans="1:12" ht="42">
      <c r="A68" s="136" t="s">
        <v>1648</v>
      </c>
      <c r="B68" s="137" t="s">
        <v>1651</v>
      </c>
      <c r="C68" s="138" t="s">
        <v>1535</v>
      </c>
      <c r="D68" s="138" t="s">
        <v>1279</v>
      </c>
      <c r="E68" s="136" t="s">
        <v>1571</v>
      </c>
      <c r="F68" s="419">
        <v>43100</v>
      </c>
      <c r="G68" s="140">
        <v>92887.32789</v>
      </c>
      <c r="H68" s="140">
        <v>109</v>
      </c>
      <c r="I68" s="140">
        <v>288.74837000000002</v>
      </c>
      <c r="J68" s="140">
        <v>636.61126000000002</v>
      </c>
      <c r="K68" s="140">
        <v>3182.9902000000002</v>
      </c>
      <c r="L68" s="140">
        <v>4536.7659199999998</v>
      </c>
    </row>
    <row r="69" spans="1:12" ht="31.5">
      <c r="A69" s="138" t="s">
        <v>1650</v>
      </c>
      <c r="B69" s="135" t="s">
        <v>1653</v>
      </c>
      <c r="C69" s="136" t="s">
        <v>1008</v>
      </c>
      <c r="D69" s="136" t="s">
        <v>975</v>
      </c>
      <c r="E69" s="138" t="s">
        <v>1571</v>
      </c>
      <c r="F69" s="420">
        <v>43100</v>
      </c>
      <c r="G69" s="141">
        <v>92260</v>
      </c>
      <c r="H69" s="141">
        <v>221</v>
      </c>
      <c r="I69" s="141"/>
      <c r="J69" s="141">
        <v>2028</v>
      </c>
      <c r="K69" s="141">
        <v>10550</v>
      </c>
      <c r="L69" s="141">
        <v>13263</v>
      </c>
    </row>
    <row r="70" spans="1:12" ht="21">
      <c r="A70" s="136" t="s">
        <v>1652</v>
      </c>
      <c r="B70" s="137" t="s">
        <v>1655</v>
      </c>
      <c r="C70" s="138" t="s">
        <v>1096</v>
      </c>
      <c r="D70" s="138" t="s">
        <v>1656</v>
      </c>
      <c r="E70" s="136" t="s">
        <v>1571</v>
      </c>
      <c r="F70" s="419">
        <v>43100</v>
      </c>
      <c r="G70" s="140">
        <v>86536</v>
      </c>
      <c r="H70" s="140">
        <v>365</v>
      </c>
      <c r="I70" s="140">
        <v>1625</v>
      </c>
      <c r="J70" s="140">
        <v>5659</v>
      </c>
      <c r="K70" s="140">
        <v>21008</v>
      </c>
      <c r="L70" s="140">
        <v>32215</v>
      </c>
    </row>
    <row r="71" spans="1:12" ht="21">
      <c r="A71" s="138" t="s">
        <v>1654</v>
      </c>
      <c r="B71" s="421" t="s">
        <v>1658</v>
      </c>
      <c r="C71" s="136" t="s">
        <v>1179</v>
      </c>
      <c r="D71" s="136" t="s">
        <v>1168</v>
      </c>
      <c r="E71" s="138" t="s">
        <v>1571</v>
      </c>
      <c r="F71" s="420">
        <v>43100</v>
      </c>
      <c r="G71" s="141">
        <v>84745</v>
      </c>
      <c r="H71" s="141">
        <v>1308</v>
      </c>
      <c r="I71" s="141">
        <v>470</v>
      </c>
      <c r="J71" s="141">
        <v>1335</v>
      </c>
      <c r="K71" s="141">
        <v>29537</v>
      </c>
      <c r="L71" s="141">
        <v>49115</v>
      </c>
    </row>
    <row r="72" spans="1:12" ht="31.5">
      <c r="A72" s="136" t="s">
        <v>1657</v>
      </c>
      <c r="B72" s="137" t="s">
        <v>1660</v>
      </c>
      <c r="C72" s="138" t="s">
        <v>1353</v>
      </c>
      <c r="D72" s="138" t="s">
        <v>188</v>
      </c>
      <c r="E72" s="136" t="s">
        <v>1571</v>
      </c>
      <c r="F72" s="419">
        <v>42004</v>
      </c>
      <c r="G72" s="140">
        <v>84002.216379999998</v>
      </c>
      <c r="H72" s="140">
        <v>161</v>
      </c>
      <c r="I72" s="140">
        <v>485.35301000000004</v>
      </c>
      <c r="J72" s="140">
        <v>3729.8565100000001</v>
      </c>
      <c r="K72" s="140">
        <v>8535.5192779999998</v>
      </c>
      <c r="L72" s="140">
        <v>13999.858047999998</v>
      </c>
    </row>
    <row r="73" spans="1:12" ht="31.5">
      <c r="A73" s="138" t="s">
        <v>1659</v>
      </c>
      <c r="B73" s="135" t="s">
        <v>1662</v>
      </c>
      <c r="C73" s="136" t="s">
        <v>1510</v>
      </c>
      <c r="D73" s="136" t="s">
        <v>1501</v>
      </c>
      <c r="E73" s="138" t="s">
        <v>1571</v>
      </c>
      <c r="F73" s="420">
        <v>43100</v>
      </c>
      <c r="G73" s="141">
        <v>76338</v>
      </c>
      <c r="H73" s="141">
        <v>265</v>
      </c>
      <c r="I73" s="141">
        <v>347</v>
      </c>
      <c r="J73" s="141">
        <v>1419</v>
      </c>
      <c r="K73" s="141">
        <v>14629</v>
      </c>
      <c r="L73" s="141">
        <v>17420</v>
      </c>
    </row>
    <row r="74" spans="1:12" ht="42">
      <c r="A74" s="136" t="s">
        <v>1661</v>
      </c>
      <c r="B74" s="137" t="s">
        <v>1664</v>
      </c>
      <c r="C74" s="138" t="s">
        <v>999</v>
      </c>
      <c r="D74" s="138" t="s">
        <v>975</v>
      </c>
      <c r="E74" s="136" t="s">
        <v>1571</v>
      </c>
      <c r="F74" s="419">
        <v>43100</v>
      </c>
      <c r="G74" s="140">
        <v>73104</v>
      </c>
      <c r="H74" s="140">
        <v>310</v>
      </c>
      <c r="I74" s="140">
        <v>136</v>
      </c>
      <c r="J74" s="140">
        <v>530</v>
      </c>
      <c r="K74" s="140">
        <v>16021</v>
      </c>
      <c r="L74" s="140">
        <v>18330</v>
      </c>
    </row>
    <row r="75" spans="1:12" ht="31.5">
      <c r="A75" s="138" t="s">
        <v>1663</v>
      </c>
      <c r="B75" s="135" t="s">
        <v>1666</v>
      </c>
      <c r="C75" s="136" t="s">
        <v>1070</v>
      </c>
      <c r="D75" s="136" t="s">
        <v>188</v>
      </c>
      <c r="E75" s="138" t="s">
        <v>1571</v>
      </c>
      <c r="F75" s="420">
        <v>42735</v>
      </c>
      <c r="G75" s="141">
        <v>71437.118000000002</v>
      </c>
      <c r="H75" s="141">
        <v>275</v>
      </c>
      <c r="I75" s="141">
        <v>1028.0530000000001</v>
      </c>
      <c r="J75" s="141">
        <v>3328.36</v>
      </c>
      <c r="K75" s="141">
        <v>14133.423000000001</v>
      </c>
      <c r="L75" s="141">
        <v>20436.34</v>
      </c>
    </row>
    <row r="76" spans="1:12" ht="21">
      <c r="A76" s="136" t="s">
        <v>1665</v>
      </c>
      <c r="B76" s="137" t="s">
        <v>1668</v>
      </c>
      <c r="C76" s="138" t="s">
        <v>904</v>
      </c>
      <c r="D76" s="138" t="s">
        <v>1669</v>
      </c>
      <c r="E76" s="136" t="s">
        <v>1571</v>
      </c>
      <c r="F76" s="419">
        <v>42735</v>
      </c>
      <c r="G76" s="140">
        <v>65691.48</v>
      </c>
      <c r="H76" s="140">
        <v>299</v>
      </c>
      <c r="I76" s="140">
        <v>249.643</v>
      </c>
      <c r="J76" s="140">
        <v>1166.4580000000001</v>
      </c>
      <c r="K76" s="140">
        <v>11222.33</v>
      </c>
      <c r="L76" s="140">
        <v>13326.223</v>
      </c>
    </row>
    <row r="77" spans="1:12" ht="52.5">
      <c r="A77" s="138" t="s">
        <v>1667</v>
      </c>
      <c r="B77" s="135" t="s">
        <v>1671</v>
      </c>
      <c r="C77" s="136" t="s">
        <v>1143</v>
      </c>
      <c r="D77" s="136" t="s">
        <v>1142</v>
      </c>
      <c r="E77" s="138" t="s">
        <v>1571</v>
      </c>
      <c r="F77" s="420">
        <v>43100</v>
      </c>
      <c r="G77" s="141">
        <v>60054.351999999999</v>
      </c>
      <c r="H77" s="141">
        <v>1014</v>
      </c>
      <c r="I77" s="141">
        <v>130.55700000000002</v>
      </c>
      <c r="J77" s="141">
        <v>7042.8829999999998</v>
      </c>
      <c r="K77" s="141">
        <v>37595.688999999998</v>
      </c>
      <c r="L77" s="141">
        <v>46517.914000000004</v>
      </c>
    </row>
    <row r="78" spans="1:12">
      <c r="A78" s="136" t="s">
        <v>1670</v>
      </c>
      <c r="B78" s="137" t="s">
        <v>1673</v>
      </c>
      <c r="C78" s="138" t="s">
        <v>692</v>
      </c>
      <c r="D78" s="138" t="s">
        <v>689</v>
      </c>
      <c r="E78" s="136" t="s">
        <v>1571</v>
      </c>
      <c r="F78" s="419">
        <v>43100</v>
      </c>
      <c r="G78" s="140">
        <v>57690</v>
      </c>
      <c r="H78" s="140">
        <v>213</v>
      </c>
      <c r="I78" s="140">
        <v>790</v>
      </c>
      <c r="J78" s="140">
        <v>2597</v>
      </c>
      <c r="K78" s="140">
        <v>13351</v>
      </c>
      <c r="L78" s="140">
        <v>18317</v>
      </c>
    </row>
    <row r="79" spans="1:12" ht="42">
      <c r="A79" s="138" t="s">
        <v>1672</v>
      </c>
      <c r="B79" s="135" t="s">
        <v>1675</v>
      </c>
      <c r="C79" s="136" t="s">
        <v>841</v>
      </c>
      <c r="D79" s="136" t="s">
        <v>811</v>
      </c>
      <c r="E79" s="138" t="s">
        <v>1571</v>
      </c>
      <c r="F79" s="420">
        <v>43100</v>
      </c>
      <c r="G79" s="141">
        <v>56294.886170000005</v>
      </c>
      <c r="H79" s="141">
        <v>123</v>
      </c>
      <c r="I79" s="141">
        <v>150.95570000000001</v>
      </c>
      <c r="J79" s="141">
        <v>1010.06947</v>
      </c>
      <c r="K79" s="141">
        <v>5267.7996099999991</v>
      </c>
      <c r="L79" s="141">
        <v>8737.4233700000004</v>
      </c>
    </row>
    <row r="80" spans="1:12" ht="21">
      <c r="A80" s="136" t="s">
        <v>1674</v>
      </c>
      <c r="B80" s="139" t="s">
        <v>1677</v>
      </c>
      <c r="C80" s="138" t="s">
        <v>1374</v>
      </c>
      <c r="D80" s="138" t="s">
        <v>1678</v>
      </c>
      <c r="E80" s="136" t="s">
        <v>1571</v>
      </c>
      <c r="F80" s="419">
        <v>43100</v>
      </c>
      <c r="G80" s="140">
        <v>53228.495649999997</v>
      </c>
      <c r="H80" s="140">
        <v>175</v>
      </c>
      <c r="I80" s="140">
        <v>4135.4337299999997</v>
      </c>
      <c r="J80" s="140">
        <v>9423.3853700000018</v>
      </c>
      <c r="K80" s="140">
        <v>13452.452650000001</v>
      </c>
      <c r="L80" s="140">
        <v>27772.838130000004</v>
      </c>
    </row>
    <row r="81" spans="1:12" ht="21">
      <c r="A81" s="138" t="s">
        <v>1676</v>
      </c>
      <c r="B81" s="135" t="s">
        <v>1680</v>
      </c>
      <c r="C81" s="136" t="s">
        <v>1356</v>
      </c>
      <c r="D81" s="136" t="s">
        <v>1681</v>
      </c>
      <c r="E81" s="138" t="s">
        <v>1571</v>
      </c>
      <c r="F81" s="420">
        <v>42735</v>
      </c>
      <c r="G81" s="141">
        <v>50571.556170000003</v>
      </c>
      <c r="H81" s="141">
        <v>27</v>
      </c>
      <c r="I81" s="141">
        <v>21.599599999999999</v>
      </c>
      <c r="J81" s="141">
        <v>178.93484000000001</v>
      </c>
      <c r="K81" s="141">
        <v>1284.6086800000003</v>
      </c>
      <c r="L81" s="141">
        <v>1633.139989</v>
      </c>
    </row>
    <row r="82" spans="1:12" ht="31.5">
      <c r="A82" s="136" t="s">
        <v>1679</v>
      </c>
      <c r="B82" s="137" t="s">
        <v>1683</v>
      </c>
      <c r="C82" s="138" t="s">
        <v>1137</v>
      </c>
      <c r="D82" s="138" t="s">
        <v>1135</v>
      </c>
      <c r="E82" s="136" t="s">
        <v>1571</v>
      </c>
      <c r="F82" s="419">
        <v>43100</v>
      </c>
      <c r="G82" s="140">
        <v>49993.237949999995</v>
      </c>
      <c r="H82" s="140">
        <v>78</v>
      </c>
      <c r="I82" s="140">
        <v>358.64748000000003</v>
      </c>
      <c r="J82" s="140">
        <v>1553.8116500000001</v>
      </c>
      <c r="K82" s="140">
        <v>3746.8124899999998</v>
      </c>
      <c r="L82" s="140">
        <v>5918.3827599999995</v>
      </c>
    </row>
    <row r="83" spans="1:12" ht="31.5">
      <c r="A83" s="138" t="s">
        <v>1682</v>
      </c>
      <c r="B83" s="135" t="s">
        <v>1685</v>
      </c>
      <c r="C83" s="136" t="s">
        <v>1686</v>
      </c>
      <c r="D83" s="136" t="s">
        <v>1687</v>
      </c>
      <c r="E83" s="138" t="s">
        <v>1571</v>
      </c>
      <c r="F83" s="420">
        <v>42735</v>
      </c>
      <c r="G83" s="141">
        <v>48973.690420000006</v>
      </c>
      <c r="H83" s="141">
        <v>117</v>
      </c>
      <c r="I83" s="141">
        <v>293.88373000000007</v>
      </c>
      <c r="J83" s="141">
        <v>805.69798000000003</v>
      </c>
      <c r="K83" s="141">
        <v>6031.6657599999999</v>
      </c>
      <c r="L83" s="141">
        <v>7876.0460999999996</v>
      </c>
    </row>
    <row r="84" spans="1:12" ht="42">
      <c r="A84" s="136" t="s">
        <v>1684</v>
      </c>
      <c r="B84" s="139" t="s">
        <v>1689</v>
      </c>
      <c r="C84" s="138" t="s">
        <v>1387</v>
      </c>
      <c r="D84" s="138" t="s">
        <v>1690</v>
      </c>
      <c r="E84" s="136" t="s">
        <v>1571</v>
      </c>
      <c r="F84" s="419">
        <v>43100</v>
      </c>
      <c r="G84" s="140">
        <v>48175.658000000003</v>
      </c>
      <c r="H84" s="140">
        <v>131</v>
      </c>
      <c r="I84" s="140">
        <v>367.13200000000001</v>
      </c>
      <c r="J84" s="140">
        <v>1101.7170000000001</v>
      </c>
      <c r="K84" s="140">
        <v>4495.6859999999997</v>
      </c>
      <c r="L84" s="140">
        <v>6498.87</v>
      </c>
    </row>
    <row r="85" spans="1:12" ht="21">
      <c r="A85" s="138" t="s">
        <v>1688</v>
      </c>
      <c r="B85" s="135" t="s">
        <v>1692</v>
      </c>
      <c r="C85" s="136" t="s">
        <v>1462</v>
      </c>
      <c r="D85" s="136" t="s">
        <v>188</v>
      </c>
      <c r="E85" s="138" t="s">
        <v>1571</v>
      </c>
      <c r="F85" s="420">
        <v>42825</v>
      </c>
      <c r="G85" s="141">
        <v>48074.747390000004</v>
      </c>
      <c r="H85" s="141">
        <v>147</v>
      </c>
      <c r="I85" s="141"/>
      <c r="J85" s="141">
        <v>33.187370000000001</v>
      </c>
      <c r="K85" s="141">
        <v>4885.6806199999992</v>
      </c>
      <c r="L85" s="141">
        <v>5972.840028999999</v>
      </c>
    </row>
    <row r="86" spans="1:12" ht="21">
      <c r="A86" s="136" t="s">
        <v>1691</v>
      </c>
      <c r="B86" s="137" t="s">
        <v>1694</v>
      </c>
      <c r="C86" s="138" t="s">
        <v>627</v>
      </c>
      <c r="D86" s="138" t="s">
        <v>596</v>
      </c>
      <c r="E86" s="136" t="s">
        <v>1571</v>
      </c>
      <c r="F86" s="419">
        <v>43100</v>
      </c>
      <c r="G86" s="140">
        <v>45878.848079999996</v>
      </c>
      <c r="H86" s="140">
        <v>1017</v>
      </c>
      <c r="I86" s="140">
        <v>239.85356000000002</v>
      </c>
      <c r="J86" s="140">
        <v>820.32491000000005</v>
      </c>
      <c r="K86" s="140">
        <v>31771.774140000001</v>
      </c>
      <c r="L86" s="140">
        <v>33729.454369000006</v>
      </c>
    </row>
    <row r="87" spans="1:12" ht="21">
      <c r="A87" s="138" t="s">
        <v>1693</v>
      </c>
      <c r="B87" s="135" t="s">
        <v>1696</v>
      </c>
      <c r="C87" s="136" t="s">
        <v>970</v>
      </c>
      <c r="D87" s="136" t="s">
        <v>971</v>
      </c>
      <c r="E87" s="138" t="s">
        <v>1571</v>
      </c>
      <c r="F87" s="420">
        <v>43100</v>
      </c>
      <c r="G87" s="141">
        <v>45232</v>
      </c>
      <c r="H87" s="141">
        <v>288</v>
      </c>
      <c r="I87" s="141">
        <v>406</v>
      </c>
      <c r="J87" s="141">
        <v>2746</v>
      </c>
      <c r="K87" s="141">
        <v>13120</v>
      </c>
      <c r="L87" s="141">
        <v>20565</v>
      </c>
    </row>
    <row r="88" spans="1:12" ht="21">
      <c r="A88" s="136" t="s">
        <v>1695</v>
      </c>
      <c r="B88" s="137" t="s">
        <v>1698</v>
      </c>
      <c r="C88" s="138" t="s">
        <v>1289</v>
      </c>
      <c r="D88" s="138" t="s">
        <v>1266</v>
      </c>
      <c r="E88" s="136" t="s">
        <v>1571</v>
      </c>
      <c r="F88" s="419">
        <v>43100</v>
      </c>
      <c r="G88" s="140">
        <v>42976.584000000003</v>
      </c>
      <c r="H88" s="140">
        <v>189</v>
      </c>
      <c r="I88" s="140">
        <v>1300.6010000000001</v>
      </c>
      <c r="J88" s="140">
        <v>4731.6589999999997</v>
      </c>
      <c r="K88" s="140">
        <v>7772.5079999999998</v>
      </c>
      <c r="L88" s="140">
        <v>15225.445</v>
      </c>
    </row>
    <row r="89" spans="1:12" ht="42">
      <c r="A89" s="138" t="s">
        <v>1697</v>
      </c>
      <c r="B89" s="135" t="s">
        <v>1700</v>
      </c>
      <c r="C89" s="136" t="s">
        <v>1136</v>
      </c>
      <c r="D89" s="136" t="s">
        <v>1135</v>
      </c>
      <c r="E89" s="138" t="s">
        <v>1571</v>
      </c>
      <c r="F89" s="420">
        <v>43100</v>
      </c>
      <c r="G89" s="141">
        <v>41882.258780000004</v>
      </c>
      <c r="H89" s="141">
        <v>96</v>
      </c>
      <c r="I89" s="141">
        <v>352.79219000000001</v>
      </c>
      <c r="J89" s="141">
        <v>1787.41695</v>
      </c>
      <c r="K89" s="141">
        <v>4355.1580899999999</v>
      </c>
      <c r="L89" s="141">
        <v>7814.5222199999998</v>
      </c>
    </row>
    <row r="90" spans="1:12" ht="31.5">
      <c r="A90" s="136" t="s">
        <v>1699</v>
      </c>
      <c r="B90" s="137" t="s">
        <v>1702</v>
      </c>
      <c r="C90" s="138" t="s">
        <v>1262</v>
      </c>
      <c r="D90" s="138" t="s">
        <v>1703</v>
      </c>
      <c r="E90" s="136" t="s">
        <v>1571</v>
      </c>
      <c r="F90" s="419">
        <v>42735</v>
      </c>
      <c r="G90" s="140">
        <v>41756.142359999998</v>
      </c>
      <c r="H90" s="140">
        <v>28</v>
      </c>
      <c r="I90" s="140">
        <v>414.69941000000006</v>
      </c>
      <c r="J90" s="140">
        <v>1464.94148</v>
      </c>
      <c r="K90" s="140">
        <v>1309.6182800000001</v>
      </c>
      <c r="L90" s="140">
        <v>3472.7955699999998</v>
      </c>
    </row>
    <row r="91" spans="1:12" ht="52.5">
      <c r="A91" s="138" t="s">
        <v>1701</v>
      </c>
      <c r="B91" s="135" t="s">
        <v>1705</v>
      </c>
      <c r="C91" s="136" t="s">
        <v>1521</v>
      </c>
      <c r="D91" s="136" t="s">
        <v>1501</v>
      </c>
      <c r="E91" s="138" t="s">
        <v>1571</v>
      </c>
      <c r="F91" s="420">
        <v>43008</v>
      </c>
      <c r="G91" s="141">
        <v>38722.800000000003</v>
      </c>
      <c r="H91" s="141">
        <v>91</v>
      </c>
      <c r="I91" s="141">
        <v>295.66899999999998</v>
      </c>
      <c r="J91" s="141">
        <v>927.48800000000006</v>
      </c>
      <c r="K91" s="141">
        <v>4816.384</v>
      </c>
      <c r="L91" s="141">
        <v>6334.683</v>
      </c>
    </row>
    <row r="92" spans="1:12" ht="42">
      <c r="A92" s="136" t="s">
        <v>1704</v>
      </c>
      <c r="B92" s="137" t="s">
        <v>1707</v>
      </c>
      <c r="C92" s="138" t="s">
        <v>1281</v>
      </c>
      <c r="D92" s="138" t="s">
        <v>1266</v>
      </c>
      <c r="E92" s="136" t="s">
        <v>1571</v>
      </c>
      <c r="F92" s="419">
        <v>43100</v>
      </c>
      <c r="G92" s="140">
        <v>38509.1204</v>
      </c>
      <c r="H92" s="140">
        <v>155</v>
      </c>
      <c r="I92" s="140">
        <v>320.44552000000004</v>
      </c>
      <c r="J92" s="140">
        <v>654.63119999999992</v>
      </c>
      <c r="K92" s="140">
        <v>5030.9010199999993</v>
      </c>
      <c r="L92" s="140">
        <v>6330.0648899999997</v>
      </c>
    </row>
    <row r="93" spans="1:12">
      <c r="A93" s="138" t="s">
        <v>1706</v>
      </c>
      <c r="B93" s="135" t="s">
        <v>1709</v>
      </c>
      <c r="C93" s="136" t="s">
        <v>763</v>
      </c>
      <c r="D93" s="136" t="s">
        <v>753</v>
      </c>
      <c r="E93" s="138" t="s">
        <v>1571</v>
      </c>
      <c r="F93" s="420">
        <v>43100</v>
      </c>
      <c r="G93" s="141">
        <v>38424.281130000003</v>
      </c>
      <c r="H93" s="141">
        <v>748</v>
      </c>
      <c r="I93" s="141">
        <v>209.54897999999997</v>
      </c>
      <c r="J93" s="141">
        <v>575.04595000000006</v>
      </c>
      <c r="K93" s="141">
        <v>22225.552939999998</v>
      </c>
      <c r="L93" s="141">
        <v>23549.944239999997</v>
      </c>
    </row>
    <row r="94" spans="1:12" ht="52.5">
      <c r="A94" s="136" t="s">
        <v>1708</v>
      </c>
      <c r="B94" s="137" t="s">
        <v>1711</v>
      </c>
      <c r="C94" s="138" t="s">
        <v>881</v>
      </c>
      <c r="D94" s="138" t="s">
        <v>811</v>
      </c>
      <c r="E94" s="136" t="s">
        <v>1571</v>
      </c>
      <c r="F94" s="419">
        <v>43100</v>
      </c>
      <c r="G94" s="140">
        <v>37202.442000000003</v>
      </c>
      <c r="H94" s="140">
        <v>25</v>
      </c>
      <c r="I94" s="140">
        <v>996.82299999999998</v>
      </c>
      <c r="J94" s="140">
        <v>2728.9490000000001</v>
      </c>
      <c r="K94" s="140">
        <v>1563.6990000000001</v>
      </c>
      <c r="L94" s="140">
        <v>5479.4679999999998</v>
      </c>
    </row>
    <row r="95" spans="1:12" ht="52.5">
      <c r="A95" s="138" t="s">
        <v>1710</v>
      </c>
      <c r="B95" s="135" t="s">
        <v>1713</v>
      </c>
      <c r="C95" s="136" t="s">
        <v>937</v>
      </c>
      <c r="D95" s="136" t="s">
        <v>811</v>
      </c>
      <c r="E95" s="138" t="s">
        <v>1571</v>
      </c>
      <c r="F95" s="420">
        <v>43100</v>
      </c>
      <c r="G95" s="141">
        <v>35793.473039999997</v>
      </c>
      <c r="H95" s="141">
        <v>21</v>
      </c>
      <c r="I95" s="141">
        <v>497.79747000000003</v>
      </c>
      <c r="J95" s="141">
        <v>1626.33953</v>
      </c>
      <c r="K95" s="141">
        <v>2065.5346</v>
      </c>
      <c r="L95" s="141">
        <v>4576.9504500000003</v>
      </c>
    </row>
    <row r="96" spans="1:12" ht="21">
      <c r="A96" s="136" t="s">
        <v>1712</v>
      </c>
      <c r="B96" s="137" t="s">
        <v>1715</v>
      </c>
      <c r="C96" s="138" t="s">
        <v>1480</v>
      </c>
      <c r="D96" s="138" t="s">
        <v>1474</v>
      </c>
      <c r="E96" s="136" t="s">
        <v>1571</v>
      </c>
      <c r="F96" s="419">
        <v>43100</v>
      </c>
      <c r="G96" s="140">
        <v>34968.2454</v>
      </c>
      <c r="H96" s="140">
        <v>628</v>
      </c>
      <c r="I96" s="140">
        <v>303.58513999999997</v>
      </c>
      <c r="J96" s="140">
        <v>1579.53225</v>
      </c>
      <c r="K96" s="140">
        <v>24543.44875</v>
      </c>
      <c r="L96" s="140">
        <v>26690.141660000001</v>
      </c>
    </row>
    <row r="97" spans="1:12" ht="31.5">
      <c r="A97" s="138" t="s">
        <v>1714</v>
      </c>
      <c r="B97" s="135" t="s">
        <v>1717</v>
      </c>
      <c r="C97" s="136" t="s">
        <v>902</v>
      </c>
      <c r="D97" s="136" t="s">
        <v>811</v>
      </c>
      <c r="E97" s="138" t="s">
        <v>1571</v>
      </c>
      <c r="F97" s="420">
        <v>43100</v>
      </c>
      <c r="G97" s="141">
        <v>34651.53989</v>
      </c>
      <c r="H97" s="141">
        <v>99</v>
      </c>
      <c r="I97" s="141">
        <v>324.95399000000003</v>
      </c>
      <c r="J97" s="141">
        <v>1074.5980099999999</v>
      </c>
      <c r="K97" s="141">
        <v>4777.6442900000002</v>
      </c>
      <c r="L97" s="141">
        <v>6398.4147999999996</v>
      </c>
    </row>
    <row r="98" spans="1:12">
      <c r="A98" s="136" t="s">
        <v>1716</v>
      </c>
      <c r="B98" s="137" t="s">
        <v>1719</v>
      </c>
      <c r="C98" s="138" t="s">
        <v>612</v>
      </c>
      <c r="D98" s="138" t="s">
        <v>596</v>
      </c>
      <c r="E98" s="136" t="s">
        <v>1571</v>
      </c>
      <c r="F98" s="419">
        <v>43100</v>
      </c>
      <c r="G98" s="140">
        <v>33775.67901</v>
      </c>
      <c r="H98" s="140">
        <v>129</v>
      </c>
      <c r="I98" s="143" t="s">
        <v>189</v>
      </c>
      <c r="J98" s="140">
        <v>-3139.6295600000003</v>
      </c>
      <c r="K98" s="140">
        <v>6400.9823700000006</v>
      </c>
      <c r="L98" s="140">
        <v>7166.2639700000009</v>
      </c>
    </row>
    <row r="99" spans="1:12" ht="52.5">
      <c r="A99" s="138" t="s">
        <v>1718</v>
      </c>
      <c r="B99" s="135" t="s">
        <v>1721</v>
      </c>
      <c r="C99" s="136" t="s">
        <v>1466</v>
      </c>
      <c r="D99" s="136" t="s">
        <v>1461</v>
      </c>
      <c r="E99" s="138" t="s">
        <v>1571</v>
      </c>
      <c r="F99" s="420">
        <v>42735</v>
      </c>
      <c r="G99" s="141">
        <v>33671.908100000001</v>
      </c>
      <c r="H99" s="141">
        <v>201</v>
      </c>
      <c r="I99" s="141"/>
      <c r="J99" s="141">
        <v>5087.8651599999994</v>
      </c>
      <c r="K99" s="141">
        <v>8209.2671599999994</v>
      </c>
      <c r="L99" s="141">
        <v>16664.581320000001</v>
      </c>
    </row>
    <row r="100" spans="1:12" ht="31.5">
      <c r="A100" s="136" t="s">
        <v>1720</v>
      </c>
      <c r="B100" s="137" t="s">
        <v>1723</v>
      </c>
      <c r="C100" s="138" t="s">
        <v>1210</v>
      </c>
      <c r="D100" s="138" t="s">
        <v>1572</v>
      </c>
      <c r="E100" s="136" t="s">
        <v>1571</v>
      </c>
      <c r="F100" s="419">
        <v>42825</v>
      </c>
      <c r="G100" s="140">
        <v>33513</v>
      </c>
      <c r="H100" s="140">
        <v>54</v>
      </c>
      <c r="I100" s="140">
        <v>313.416</v>
      </c>
      <c r="J100" s="140">
        <v>713.02</v>
      </c>
      <c r="K100" s="140">
        <v>2998.6910000000003</v>
      </c>
      <c r="L100" s="140">
        <v>4199.2870000000003</v>
      </c>
    </row>
    <row r="101" spans="1:12" ht="42">
      <c r="A101" s="138" t="s">
        <v>1722</v>
      </c>
      <c r="B101" s="135" t="s">
        <v>1725</v>
      </c>
      <c r="C101" s="136" t="s">
        <v>1442</v>
      </c>
      <c r="D101" s="136" t="s">
        <v>1726</v>
      </c>
      <c r="E101" s="138" t="s">
        <v>1571</v>
      </c>
      <c r="F101" s="420">
        <v>43100</v>
      </c>
      <c r="G101" s="141">
        <v>32797.549339999998</v>
      </c>
      <c r="H101" s="141">
        <v>114</v>
      </c>
      <c r="I101" s="141">
        <v>24.199280000000002</v>
      </c>
      <c r="J101" s="141">
        <v>79.456489999999988</v>
      </c>
      <c r="K101" s="141">
        <v>4286.15524</v>
      </c>
      <c r="L101" s="141">
        <v>4665.8485700000001</v>
      </c>
    </row>
    <row r="102" spans="1:12" ht="42">
      <c r="A102" s="136" t="s">
        <v>1724</v>
      </c>
      <c r="B102" s="137" t="s">
        <v>1728</v>
      </c>
      <c r="C102" s="138" t="s">
        <v>1369</v>
      </c>
      <c r="D102" s="138" t="s">
        <v>1368</v>
      </c>
      <c r="E102" s="136" t="s">
        <v>1571</v>
      </c>
      <c r="F102" s="419">
        <v>43100</v>
      </c>
      <c r="G102" s="140">
        <v>32341.458438999998</v>
      </c>
      <c r="H102" s="140">
        <v>217</v>
      </c>
      <c r="I102" s="140">
        <v>846.75278999999989</v>
      </c>
      <c r="J102" s="140">
        <v>2664.5994499999997</v>
      </c>
      <c r="K102" s="140">
        <v>11691.21039</v>
      </c>
      <c r="L102" s="140">
        <v>15539.088400000001</v>
      </c>
    </row>
    <row r="103" spans="1:12" ht="42">
      <c r="A103" s="138" t="s">
        <v>1727</v>
      </c>
      <c r="B103" s="135" t="s">
        <v>1730</v>
      </c>
      <c r="C103" s="136" t="s">
        <v>1263</v>
      </c>
      <c r="D103" s="136" t="s">
        <v>1266</v>
      </c>
      <c r="E103" s="138" t="s">
        <v>1571</v>
      </c>
      <c r="F103" s="420">
        <v>42551</v>
      </c>
      <c r="G103" s="141">
        <v>32184.314000000002</v>
      </c>
      <c r="H103" s="141">
        <v>89</v>
      </c>
      <c r="I103" s="141">
        <v>745.66100000000006</v>
      </c>
      <c r="J103" s="141">
        <v>2245.3510000000001</v>
      </c>
      <c r="K103" s="141">
        <v>4127.2970000000005</v>
      </c>
      <c r="L103" s="141">
        <v>7313.4049999999997</v>
      </c>
    </row>
    <row r="104" spans="1:12" ht="31.5">
      <c r="A104" s="136" t="s">
        <v>1729</v>
      </c>
      <c r="B104" s="137" t="s">
        <v>1732</v>
      </c>
      <c r="C104" s="138" t="s">
        <v>1490</v>
      </c>
      <c r="D104" s="138" t="s">
        <v>1474</v>
      </c>
      <c r="E104" s="136" t="s">
        <v>1571</v>
      </c>
      <c r="F104" s="419">
        <v>43100</v>
      </c>
      <c r="G104" s="140">
        <v>31806.79607</v>
      </c>
      <c r="H104" s="140">
        <v>102</v>
      </c>
      <c r="I104" s="140">
        <v>916.52767999999992</v>
      </c>
      <c r="J104" s="140">
        <v>2325.8369200000002</v>
      </c>
      <c r="K104" s="140">
        <v>4181.6368299999995</v>
      </c>
      <c r="L104" s="140">
        <v>7782.4690099999998</v>
      </c>
    </row>
    <row r="105" spans="1:12" ht="42">
      <c r="A105" s="138" t="s">
        <v>1731</v>
      </c>
      <c r="B105" s="135" t="s">
        <v>1734</v>
      </c>
      <c r="C105" s="136" t="s">
        <v>998</v>
      </c>
      <c r="D105" s="136" t="s">
        <v>975</v>
      </c>
      <c r="E105" s="138" t="s">
        <v>1571</v>
      </c>
      <c r="F105" s="420">
        <v>43100</v>
      </c>
      <c r="G105" s="141">
        <v>31720.337090000001</v>
      </c>
      <c r="H105" s="141">
        <v>89</v>
      </c>
      <c r="I105" s="141">
        <v>338.78780999999998</v>
      </c>
      <c r="J105" s="141">
        <v>71.169670000000011</v>
      </c>
      <c r="K105" s="141">
        <v>3727.1479399999998</v>
      </c>
      <c r="L105" s="141">
        <v>4892.0797289999991</v>
      </c>
    </row>
    <row r="106" spans="1:12">
      <c r="A106" s="136" t="s">
        <v>1733</v>
      </c>
      <c r="B106" s="137" t="s">
        <v>1736</v>
      </c>
      <c r="C106" s="138" t="s">
        <v>1019</v>
      </c>
      <c r="D106" s="138" t="s">
        <v>1013</v>
      </c>
      <c r="E106" s="136" t="s">
        <v>1571</v>
      </c>
      <c r="F106" s="419">
        <v>43100</v>
      </c>
      <c r="G106" s="140">
        <v>28943</v>
      </c>
      <c r="H106" s="140">
        <v>118</v>
      </c>
      <c r="I106" s="140">
        <v>587</v>
      </c>
      <c r="J106" s="140">
        <v>1074</v>
      </c>
      <c r="K106" s="140">
        <v>5428</v>
      </c>
      <c r="L106" s="140">
        <v>11092</v>
      </c>
    </row>
    <row r="107" spans="1:12">
      <c r="A107" s="138" t="s">
        <v>1735</v>
      </c>
      <c r="B107" s="135" t="s">
        <v>1738</v>
      </c>
      <c r="C107" s="136" t="s">
        <v>622</v>
      </c>
      <c r="D107" s="136" t="s">
        <v>596</v>
      </c>
      <c r="E107" s="138" t="s">
        <v>1571</v>
      </c>
      <c r="F107" s="420">
        <v>43100</v>
      </c>
      <c r="G107" s="141">
        <v>26770.325000000001</v>
      </c>
      <c r="H107" s="141">
        <v>77</v>
      </c>
      <c r="I107" s="141"/>
      <c r="J107" s="141">
        <v>-1872.4850000000001</v>
      </c>
      <c r="K107" s="141">
        <v>3538.1840000000002</v>
      </c>
      <c r="L107" s="141">
        <v>1633.0230000000001</v>
      </c>
    </row>
    <row r="108" spans="1:12" ht="31.5">
      <c r="A108" s="136" t="s">
        <v>1737</v>
      </c>
      <c r="B108" s="137" t="s">
        <v>1740</v>
      </c>
      <c r="C108" s="138" t="s">
        <v>1495</v>
      </c>
      <c r="D108" s="138" t="s">
        <v>1474</v>
      </c>
      <c r="E108" s="136" t="s">
        <v>1571</v>
      </c>
      <c r="F108" s="419">
        <v>42735</v>
      </c>
      <c r="G108" s="140">
        <v>26762.90553</v>
      </c>
      <c r="H108" s="140">
        <v>62</v>
      </c>
      <c r="I108" s="140">
        <v>611.6214500000001</v>
      </c>
      <c r="J108" s="140">
        <v>1630.0760600000001</v>
      </c>
      <c r="K108" s="140">
        <v>2388.80602</v>
      </c>
      <c r="L108" s="140">
        <v>4850.856628999999</v>
      </c>
    </row>
    <row r="109" spans="1:12" ht="21">
      <c r="A109" s="138" t="s">
        <v>1739</v>
      </c>
      <c r="B109" s="135" t="s">
        <v>1742</v>
      </c>
      <c r="C109" s="136" t="s">
        <v>658</v>
      </c>
      <c r="D109" s="136" t="s">
        <v>1595</v>
      </c>
      <c r="E109" s="138" t="s">
        <v>1571</v>
      </c>
      <c r="F109" s="420">
        <v>43100</v>
      </c>
      <c r="G109" s="141">
        <v>26249.79464</v>
      </c>
      <c r="H109" s="141">
        <v>55</v>
      </c>
      <c r="I109" s="141">
        <v>682.85593000000006</v>
      </c>
      <c r="J109" s="141">
        <v>2029.4226900000003</v>
      </c>
      <c r="K109" s="141">
        <v>2920.57609</v>
      </c>
      <c r="L109" s="141">
        <v>5807.5105400000002</v>
      </c>
    </row>
    <row r="110" spans="1:12" ht="42">
      <c r="A110" s="136" t="s">
        <v>1741</v>
      </c>
      <c r="B110" s="137" t="s">
        <v>1744</v>
      </c>
      <c r="C110" s="138" t="s">
        <v>1177</v>
      </c>
      <c r="D110" s="138" t="s">
        <v>1745</v>
      </c>
      <c r="E110" s="136" t="s">
        <v>1571</v>
      </c>
      <c r="F110" s="419">
        <v>43100</v>
      </c>
      <c r="G110" s="140">
        <v>25894</v>
      </c>
      <c r="H110" s="140">
        <v>184</v>
      </c>
      <c r="I110" s="140"/>
      <c r="J110" s="140">
        <v>-5073</v>
      </c>
      <c r="K110" s="140">
        <v>11945</v>
      </c>
      <c r="L110" s="140">
        <v>8330</v>
      </c>
    </row>
    <row r="111" spans="1:12" ht="31.5">
      <c r="A111" s="138" t="s">
        <v>1743</v>
      </c>
      <c r="B111" s="135" t="s">
        <v>1747</v>
      </c>
      <c r="C111" s="136" t="s">
        <v>1148</v>
      </c>
      <c r="D111" s="136" t="s">
        <v>1156</v>
      </c>
      <c r="E111" s="138" t="s">
        <v>1571</v>
      </c>
      <c r="F111" s="420">
        <v>43100</v>
      </c>
      <c r="G111" s="141">
        <v>23448.761000000002</v>
      </c>
      <c r="H111" s="141">
        <v>110</v>
      </c>
      <c r="I111" s="141">
        <v>241.79</v>
      </c>
      <c r="J111" s="141">
        <v>725.37</v>
      </c>
      <c r="K111" s="141">
        <v>6281.02</v>
      </c>
      <c r="L111" s="141">
        <v>8269.014000000001</v>
      </c>
    </row>
    <row r="112" spans="1:12" ht="42">
      <c r="A112" s="136" t="s">
        <v>1746</v>
      </c>
      <c r="B112" s="137" t="s">
        <v>1749</v>
      </c>
      <c r="C112" s="138" t="s">
        <v>930</v>
      </c>
      <c r="D112" s="138" t="s">
        <v>811</v>
      </c>
      <c r="E112" s="136" t="s">
        <v>1571</v>
      </c>
      <c r="F112" s="419">
        <v>42825</v>
      </c>
      <c r="G112" s="140">
        <v>23069.196</v>
      </c>
      <c r="H112" s="140">
        <v>91</v>
      </c>
      <c r="I112" s="140"/>
      <c r="J112" s="140">
        <v>30.367000000000001</v>
      </c>
      <c r="K112" s="140">
        <v>4534.82</v>
      </c>
      <c r="L112" s="140">
        <v>5251.1019999999999</v>
      </c>
    </row>
    <row r="113" spans="1:12" ht="21">
      <c r="A113" s="138" t="s">
        <v>1748</v>
      </c>
      <c r="B113" s="135" t="s">
        <v>1751</v>
      </c>
      <c r="C113" s="136" t="s">
        <v>905</v>
      </c>
      <c r="D113" s="136" t="s">
        <v>188</v>
      </c>
      <c r="E113" s="138" t="s">
        <v>1571</v>
      </c>
      <c r="F113" s="420">
        <v>43100</v>
      </c>
      <c r="G113" s="141">
        <v>22644.437000000002</v>
      </c>
      <c r="H113" s="141">
        <v>233</v>
      </c>
      <c r="I113" s="142" t="s">
        <v>189</v>
      </c>
      <c r="J113" s="141">
        <v>-48.414999999999999</v>
      </c>
      <c r="K113" s="141">
        <v>14374.68</v>
      </c>
      <c r="L113" s="141">
        <v>14376.409</v>
      </c>
    </row>
    <row r="114" spans="1:12" ht="31.5">
      <c r="A114" s="136" t="s">
        <v>1750</v>
      </c>
      <c r="B114" s="137" t="s">
        <v>1753</v>
      </c>
      <c r="C114" s="138" t="s">
        <v>1090</v>
      </c>
      <c r="D114" s="138" t="s">
        <v>969</v>
      </c>
      <c r="E114" s="136" t="s">
        <v>1571</v>
      </c>
      <c r="F114" s="419">
        <v>42735</v>
      </c>
      <c r="G114" s="140">
        <v>22389.499</v>
      </c>
      <c r="H114" s="140">
        <v>150</v>
      </c>
      <c r="I114" s="140"/>
      <c r="J114" s="140">
        <v>1318.452</v>
      </c>
      <c r="K114" s="140">
        <v>9089.5720000000001</v>
      </c>
      <c r="L114" s="140">
        <v>11308.605</v>
      </c>
    </row>
    <row r="115" spans="1:12" ht="42">
      <c r="A115" s="138" t="s">
        <v>1752</v>
      </c>
      <c r="B115" s="135" t="s">
        <v>1755</v>
      </c>
      <c r="C115" s="136" t="s">
        <v>745</v>
      </c>
      <c r="D115" s="136" t="s">
        <v>744</v>
      </c>
      <c r="E115" s="138" t="s">
        <v>1571</v>
      </c>
      <c r="F115" s="420">
        <v>43100</v>
      </c>
      <c r="G115" s="141">
        <v>22255.161139000003</v>
      </c>
      <c r="H115" s="141">
        <v>45</v>
      </c>
      <c r="I115" s="141">
        <v>24.155290000000001</v>
      </c>
      <c r="J115" s="141">
        <v>61.216360000000002</v>
      </c>
      <c r="K115" s="141">
        <v>1932.63725</v>
      </c>
      <c r="L115" s="141">
        <v>2196.1332900000002</v>
      </c>
    </row>
    <row r="116" spans="1:12" ht="42">
      <c r="A116" s="136" t="s">
        <v>1754</v>
      </c>
      <c r="B116" s="137" t="s">
        <v>1757</v>
      </c>
      <c r="C116" s="138" t="s">
        <v>1413</v>
      </c>
      <c r="D116" s="138" t="s">
        <v>1411</v>
      </c>
      <c r="E116" s="136" t="s">
        <v>1571</v>
      </c>
      <c r="F116" s="419">
        <v>42735</v>
      </c>
      <c r="G116" s="140">
        <v>21268.947</v>
      </c>
      <c r="H116" s="140">
        <v>121</v>
      </c>
      <c r="I116" s="140"/>
      <c r="J116" s="140">
        <v>651.82900000000006</v>
      </c>
      <c r="K116" s="140">
        <v>5845.3249999999998</v>
      </c>
      <c r="L116" s="140">
        <v>9396.5810000000001</v>
      </c>
    </row>
    <row r="117" spans="1:12" ht="31.5">
      <c r="A117" s="138" t="s">
        <v>1756</v>
      </c>
      <c r="B117" s="135" t="s">
        <v>1759</v>
      </c>
      <c r="C117" s="136" t="s">
        <v>1256</v>
      </c>
      <c r="D117" s="136" t="s">
        <v>1760</v>
      </c>
      <c r="E117" s="138" t="s">
        <v>1571</v>
      </c>
      <c r="F117" s="420">
        <v>43100</v>
      </c>
      <c r="G117" s="141">
        <v>21140.86</v>
      </c>
      <c r="H117" s="141">
        <v>82</v>
      </c>
      <c r="I117" s="141">
        <v>641.98699999999997</v>
      </c>
      <c r="J117" s="141">
        <v>2077.4700000000003</v>
      </c>
      <c r="K117" s="141">
        <v>3574.2020000000002</v>
      </c>
      <c r="L117" s="141">
        <v>7170.2520000000004</v>
      </c>
    </row>
    <row r="118" spans="1:12" ht="31.5">
      <c r="A118" s="136" t="s">
        <v>1758</v>
      </c>
      <c r="B118" s="137" t="s">
        <v>1762</v>
      </c>
      <c r="C118" s="138" t="s">
        <v>1381</v>
      </c>
      <c r="D118" s="138" t="s">
        <v>1763</v>
      </c>
      <c r="E118" s="136" t="s">
        <v>1571</v>
      </c>
      <c r="F118" s="419">
        <v>43100</v>
      </c>
      <c r="G118" s="140">
        <v>21055.399969999999</v>
      </c>
      <c r="H118" s="140">
        <v>66</v>
      </c>
      <c r="I118" s="140">
        <v>149.21687999999997</v>
      </c>
      <c r="J118" s="140">
        <v>484.92483999999996</v>
      </c>
      <c r="K118" s="140">
        <v>2463.3028799999997</v>
      </c>
      <c r="L118" s="140">
        <v>4175.8269</v>
      </c>
    </row>
    <row r="119" spans="1:12" ht="52.5">
      <c r="A119" s="138" t="s">
        <v>1761</v>
      </c>
      <c r="B119" s="135" t="s">
        <v>1765</v>
      </c>
      <c r="C119" s="136" t="s">
        <v>737</v>
      </c>
      <c r="D119" s="136" t="s">
        <v>188</v>
      </c>
      <c r="E119" s="138" t="s">
        <v>1571</v>
      </c>
      <c r="F119" s="420">
        <v>43100</v>
      </c>
      <c r="G119" s="141">
        <v>20517.203000000001</v>
      </c>
      <c r="H119" s="141">
        <v>441</v>
      </c>
      <c r="I119" s="141"/>
      <c r="J119" s="141">
        <v>-160.80600000000001</v>
      </c>
      <c r="K119" s="141">
        <v>13112.56</v>
      </c>
      <c r="L119" s="141">
        <v>13466.407999999999</v>
      </c>
    </row>
    <row r="120" spans="1:12" ht="21">
      <c r="A120" s="136" t="s">
        <v>1764</v>
      </c>
      <c r="B120" s="137" t="s">
        <v>1767</v>
      </c>
      <c r="C120" s="138" t="s">
        <v>805</v>
      </c>
      <c r="D120" s="138" t="s">
        <v>800</v>
      </c>
      <c r="E120" s="136" t="s">
        <v>1571</v>
      </c>
      <c r="F120" s="419">
        <v>43100</v>
      </c>
      <c r="G120" s="140">
        <v>20395.441999999999</v>
      </c>
      <c r="H120" s="140">
        <v>116</v>
      </c>
      <c r="I120" s="140">
        <v>286.00700000000001</v>
      </c>
      <c r="J120" s="140">
        <v>858.82</v>
      </c>
      <c r="K120" s="140">
        <v>4593.6099999999997</v>
      </c>
      <c r="L120" s="140">
        <v>6130.4480000000003</v>
      </c>
    </row>
    <row r="121" spans="1:12" ht="42">
      <c r="A121" s="138" t="s">
        <v>1766</v>
      </c>
      <c r="B121" s="135" t="s">
        <v>1769</v>
      </c>
      <c r="C121" s="136" t="s">
        <v>888</v>
      </c>
      <c r="D121" s="136" t="s">
        <v>811</v>
      </c>
      <c r="E121" s="138" t="s">
        <v>1571</v>
      </c>
      <c r="F121" s="420">
        <v>43100</v>
      </c>
      <c r="G121" s="141">
        <v>20303.341899999999</v>
      </c>
      <c r="H121" s="141">
        <v>95</v>
      </c>
      <c r="I121" s="142" t="s">
        <v>189</v>
      </c>
      <c r="J121" s="141">
        <v>158.61108999999999</v>
      </c>
      <c r="K121" s="141">
        <v>3854.6749399999999</v>
      </c>
      <c r="L121" s="141">
        <v>4809.0628700000007</v>
      </c>
    </row>
    <row r="122" spans="1:12" ht="42">
      <c r="A122" s="136" t="s">
        <v>1768</v>
      </c>
      <c r="B122" s="137" t="s">
        <v>1771</v>
      </c>
      <c r="C122" s="138" t="s">
        <v>1258</v>
      </c>
      <c r="D122" s="138" t="s">
        <v>1251</v>
      </c>
      <c r="E122" s="136" t="s">
        <v>1571</v>
      </c>
      <c r="F122" s="419">
        <v>43100</v>
      </c>
      <c r="G122" s="140">
        <v>20155.104600000002</v>
      </c>
      <c r="H122" s="140">
        <v>63</v>
      </c>
      <c r="I122" s="140">
        <v>43.827550000000002</v>
      </c>
      <c r="J122" s="140">
        <v>373.01101</v>
      </c>
      <c r="K122" s="140">
        <v>2487.5569899999996</v>
      </c>
      <c r="L122" s="140">
        <v>3182.6034099999997</v>
      </c>
    </row>
    <row r="123" spans="1:12" ht="21">
      <c r="A123" s="138" t="s">
        <v>1770</v>
      </c>
      <c r="B123" s="135" t="s">
        <v>1773</v>
      </c>
      <c r="C123" s="136" t="s">
        <v>1544</v>
      </c>
      <c r="D123" s="136" t="s">
        <v>1279</v>
      </c>
      <c r="E123" s="138" t="s">
        <v>1571</v>
      </c>
      <c r="F123" s="420">
        <v>43100</v>
      </c>
      <c r="G123" s="141">
        <v>20011.959959999996</v>
      </c>
      <c r="H123" s="141">
        <v>21</v>
      </c>
      <c r="I123" s="141">
        <v>68.34217000000001</v>
      </c>
      <c r="J123" s="141">
        <v>160.47057000000001</v>
      </c>
      <c r="K123" s="141">
        <v>760.06366999999989</v>
      </c>
      <c r="L123" s="141">
        <v>1662.68507</v>
      </c>
    </row>
    <row r="124" spans="1:12" ht="42">
      <c r="A124" s="136" t="s">
        <v>1772</v>
      </c>
      <c r="B124" s="137" t="s">
        <v>1775</v>
      </c>
      <c r="C124" s="138" t="s">
        <v>961</v>
      </c>
      <c r="D124" s="138" t="s">
        <v>811</v>
      </c>
      <c r="E124" s="136" t="s">
        <v>1571</v>
      </c>
      <c r="F124" s="419">
        <v>43100</v>
      </c>
      <c r="G124" s="140">
        <v>19529.797570000002</v>
      </c>
      <c r="H124" s="140">
        <v>26</v>
      </c>
      <c r="I124" s="140">
        <v>44.085819999999998</v>
      </c>
      <c r="J124" s="140">
        <v>172.43991</v>
      </c>
      <c r="K124" s="140">
        <v>1527.7069099999999</v>
      </c>
      <c r="L124" s="140">
        <v>1770.5936600000002</v>
      </c>
    </row>
    <row r="125" spans="1:12" ht="63">
      <c r="A125" s="138" t="s">
        <v>1774</v>
      </c>
      <c r="B125" s="135" t="s">
        <v>1777</v>
      </c>
      <c r="C125" s="136" t="s">
        <v>693</v>
      </c>
      <c r="D125" s="136" t="s">
        <v>694</v>
      </c>
      <c r="E125" s="138" t="s">
        <v>1571</v>
      </c>
      <c r="F125" s="420">
        <v>43190</v>
      </c>
      <c r="G125" s="141">
        <v>19466</v>
      </c>
      <c r="H125" s="141">
        <v>283</v>
      </c>
      <c r="I125" s="141"/>
      <c r="J125" s="141">
        <v>-158</v>
      </c>
      <c r="K125" s="141">
        <v>9259</v>
      </c>
      <c r="L125" s="141">
        <v>11081</v>
      </c>
    </row>
    <row r="126" spans="1:12" ht="21">
      <c r="A126" s="136" t="s">
        <v>1776</v>
      </c>
      <c r="B126" s="137" t="s">
        <v>1779</v>
      </c>
      <c r="C126" s="138" t="s">
        <v>809</v>
      </c>
      <c r="D126" s="138" t="s">
        <v>800</v>
      </c>
      <c r="E126" s="136" t="s">
        <v>1571</v>
      </c>
      <c r="F126" s="419">
        <v>43100</v>
      </c>
      <c r="G126" s="140">
        <v>19390.98904</v>
      </c>
      <c r="H126" s="140">
        <v>34</v>
      </c>
      <c r="I126" s="140">
        <v>78.507310000000004</v>
      </c>
      <c r="J126" s="140">
        <v>350.53960999999998</v>
      </c>
      <c r="K126" s="140">
        <v>1788.12527</v>
      </c>
      <c r="L126" s="140">
        <v>2962.27225</v>
      </c>
    </row>
    <row r="127" spans="1:12" ht="63">
      <c r="A127" s="138" t="s">
        <v>1778</v>
      </c>
      <c r="B127" s="135" t="s">
        <v>1781</v>
      </c>
      <c r="C127" s="136" t="s">
        <v>1084</v>
      </c>
      <c r="D127" s="136" t="s">
        <v>969</v>
      </c>
      <c r="E127" s="138" t="s">
        <v>1571</v>
      </c>
      <c r="F127" s="420">
        <v>43100</v>
      </c>
      <c r="G127" s="141">
        <v>19287.68202</v>
      </c>
      <c r="H127" s="141">
        <v>160</v>
      </c>
      <c r="I127" s="142" t="s">
        <v>189</v>
      </c>
      <c r="J127" s="141">
        <v>-488.48470000000003</v>
      </c>
      <c r="K127" s="141">
        <v>5607.3722000000007</v>
      </c>
      <c r="L127" s="141">
        <v>5558.9171599999991</v>
      </c>
    </row>
    <row r="128" spans="1:12" ht="31.5">
      <c r="A128" s="136" t="s">
        <v>1780</v>
      </c>
      <c r="B128" s="137" t="s">
        <v>1783</v>
      </c>
      <c r="C128" s="138" t="s">
        <v>775</v>
      </c>
      <c r="D128" s="138" t="s">
        <v>776</v>
      </c>
      <c r="E128" s="136" t="s">
        <v>1571</v>
      </c>
      <c r="F128" s="419">
        <v>43100</v>
      </c>
      <c r="G128" s="140">
        <v>18746</v>
      </c>
      <c r="H128" s="140">
        <v>253</v>
      </c>
      <c r="I128" s="140">
        <v>301</v>
      </c>
      <c r="J128" s="140">
        <v>1027</v>
      </c>
      <c r="K128" s="140">
        <v>11883</v>
      </c>
      <c r="L128" s="140">
        <v>13659</v>
      </c>
    </row>
    <row r="129" spans="1:12" ht="21">
      <c r="A129" s="138" t="s">
        <v>1782</v>
      </c>
      <c r="B129" s="135" t="s">
        <v>1785</v>
      </c>
      <c r="C129" s="136" t="s">
        <v>812</v>
      </c>
      <c r="D129" s="136" t="s">
        <v>811</v>
      </c>
      <c r="E129" s="138" t="s">
        <v>1571</v>
      </c>
      <c r="F129" s="420">
        <v>43100</v>
      </c>
      <c r="G129" s="141">
        <v>18361.366699999999</v>
      </c>
      <c r="H129" s="141">
        <v>78</v>
      </c>
      <c r="I129" s="141">
        <v>408.82992000000007</v>
      </c>
      <c r="J129" s="141">
        <v>1074.2616600000001</v>
      </c>
      <c r="K129" s="141">
        <v>5189.2487900000006</v>
      </c>
      <c r="L129" s="141">
        <v>6760.84879</v>
      </c>
    </row>
    <row r="130" spans="1:12" ht="21">
      <c r="A130" s="136" t="s">
        <v>1784</v>
      </c>
      <c r="B130" s="137" t="s">
        <v>1787</v>
      </c>
      <c r="C130" s="138" t="s">
        <v>738</v>
      </c>
      <c r="D130" s="138" t="s">
        <v>1788</v>
      </c>
      <c r="E130" s="136" t="s">
        <v>1571</v>
      </c>
      <c r="F130" s="419">
        <v>43100</v>
      </c>
      <c r="G130" s="140">
        <v>18342.132000000001</v>
      </c>
      <c r="H130" s="140">
        <v>66</v>
      </c>
      <c r="I130" s="143" t="s">
        <v>189</v>
      </c>
      <c r="J130" s="140">
        <v>341.05900000000003</v>
      </c>
      <c r="K130" s="140">
        <v>3141.4679999999998</v>
      </c>
      <c r="L130" s="140">
        <v>3864.8809999999999</v>
      </c>
    </row>
    <row r="131" spans="1:12" ht="84">
      <c r="A131" s="138" t="s">
        <v>1786</v>
      </c>
      <c r="B131" s="135" t="s">
        <v>1790</v>
      </c>
      <c r="C131" s="136" t="s">
        <v>901</v>
      </c>
      <c r="D131" s="136" t="s">
        <v>811</v>
      </c>
      <c r="E131" s="138" t="s">
        <v>1571</v>
      </c>
      <c r="F131" s="420">
        <v>42735</v>
      </c>
      <c r="G131" s="141">
        <v>17983.224000000002</v>
      </c>
      <c r="H131" s="141">
        <v>184</v>
      </c>
      <c r="I131" s="141">
        <v>65.608000000000004</v>
      </c>
      <c r="J131" s="141">
        <v>603.20699999999999</v>
      </c>
      <c r="K131" s="141">
        <v>9885.3340000000007</v>
      </c>
      <c r="L131" s="141">
        <v>10758.206</v>
      </c>
    </row>
    <row r="132" spans="1:12" ht="63">
      <c r="A132" s="136" t="s">
        <v>1789</v>
      </c>
      <c r="B132" s="137" t="s">
        <v>1792</v>
      </c>
      <c r="C132" s="138" t="s">
        <v>1336</v>
      </c>
      <c r="D132" s="138" t="s">
        <v>1320</v>
      </c>
      <c r="E132" s="136" t="s">
        <v>1571</v>
      </c>
      <c r="F132" s="419">
        <v>43100</v>
      </c>
      <c r="G132" s="140">
        <v>17865.231</v>
      </c>
      <c r="H132" s="140">
        <v>608</v>
      </c>
      <c r="I132" s="140">
        <v>57.4</v>
      </c>
      <c r="J132" s="140">
        <v>223.96</v>
      </c>
      <c r="K132" s="140">
        <v>16392.674999999999</v>
      </c>
      <c r="L132" s="140">
        <v>16708.726999999999</v>
      </c>
    </row>
    <row r="133" spans="1:12" ht="21">
      <c r="A133" s="138" t="s">
        <v>1791</v>
      </c>
      <c r="B133" s="135" t="s">
        <v>1794</v>
      </c>
      <c r="C133" s="136" t="s">
        <v>984</v>
      </c>
      <c r="D133" s="136" t="s">
        <v>975</v>
      </c>
      <c r="E133" s="138" t="s">
        <v>1571</v>
      </c>
      <c r="F133" s="420">
        <v>43100</v>
      </c>
      <c r="G133" s="141">
        <v>17599.17468</v>
      </c>
      <c r="H133" s="141">
        <v>85</v>
      </c>
      <c r="I133" s="141">
        <v>241.31734999999998</v>
      </c>
      <c r="J133" s="141">
        <v>787.62084000000004</v>
      </c>
      <c r="K133" s="141">
        <v>2549.7839299999996</v>
      </c>
      <c r="L133" s="141">
        <v>3737.1062200000001</v>
      </c>
    </row>
    <row r="134" spans="1:12" ht="42">
      <c r="A134" s="136" t="s">
        <v>1793</v>
      </c>
      <c r="B134" s="137" t="s">
        <v>1796</v>
      </c>
      <c r="C134" s="138" t="s">
        <v>1383</v>
      </c>
      <c r="D134" s="138" t="s">
        <v>1797</v>
      </c>
      <c r="E134" s="136" t="s">
        <v>1571</v>
      </c>
      <c r="F134" s="419">
        <v>43100</v>
      </c>
      <c r="G134" s="140">
        <v>17432.742870000002</v>
      </c>
      <c r="H134" s="140">
        <v>465</v>
      </c>
      <c r="I134" s="140"/>
      <c r="J134" s="140">
        <v>383.40033</v>
      </c>
      <c r="K134" s="140">
        <v>8802.0099200000004</v>
      </c>
      <c r="L134" s="140">
        <v>9674.5947099999994</v>
      </c>
    </row>
    <row r="135" spans="1:12" ht="31.5">
      <c r="A135" s="138" t="s">
        <v>1795</v>
      </c>
      <c r="B135" s="135" t="s">
        <v>1799</v>
      </c>
      <c r="C135" s="136" t="s">
        <v>1371</v>
      </c>
      <c r="D135" s="136" t="s">
        <v>1800</v>
      </c>
      <c r="E135" s="138" t="s">
        <v>1571</v>
      </c>
      <c r="F135" s="420">
        <v>43008</v>
      </c>
      <c r="G135" s="141">
        <v>17060.221600000001</v>
      </c>
      <c r="H135" s="141">
        <v>11</v>
      </c>
      <c r="I135" s="141">
        <v>17.613910000000001</v>
      </c>
      <c r="J135" s="141">
        <v>45.140750000000004</v>
      </c>
      <c r="K135" s="141">
        <v>835.70941000000005</v>
      </c>
      <c r="L135" s="141">
        <v>961.90665000000001</v>
      </c>
    </row>
    <row r="136" spans="1:12" ht="31.5">
      <c r="A136" s="136" t="s">
        <v>1798</v>
      </c>
      <c r="B136" s="137" t="s">
        <v>1802</v>
      </c>
      <c r="C136" s="138" t="s">
        <v>1098</v>
      </c>
      <c r="D136" s="138" t="s">
        <v>969</v>
      </c>
      <c r="E136" s="136" t="s">
        <v>1571</v>
      </c>
      <c r="F136" s="419">
        <v>42735</v>
      </c>
      <c r="G136" s="140">
        <v>16901.822439999996</v>
      </c>
      <c r="H136" s="140">
        <v>117</v>
      </c>
      <c r="I136" s="140">
        <v>100.465</v>
      </c>
      <c r="J136" s="140">
        <v>254.30607000000001</v>
      </c>
      <c r="K136" s="140">
        <v>4514.0722599999999</v>
      </c>
      <c r="L136" s="140">
        <v>5701.3056499999993</v>
      </c>
    </row>
    <row r="137" spans="1:12" ht="21">
      <c r="A137" s="138" t="s">
        <v>1801</v>
      </c>
      <c r="B137" s="135" t="s">
        <v>1804</v>
      </c>
      <c r="C137" s="136" t="s">
        <v>610</v>
      </c>
      <c r="D137" s="136" t="s">
        <v>596</v>
      </c>
      <c r="E137" s="138" t="s">
        <v>1571</v>
      </c>
      <c r="F137" s="420">
        <v>43100</v>
      </c>
      <c r="G137" s="141">
        <v>16690.40667</v>
      </c>
      <c r="H137" s="141">
        <v>80</v>
      </c>
      <c r="I137" s="141">
        <v>237.68394000000001</v>
      </c>
      <c r="J137" s="141">
        <v>1760.0840600000001</v>
      </c>
      <c r="K137" s="141">
        <v>4287.2499600000001</v>
      </c>
      <c r="L137" s="141">
        <v>6791.8210800000006</v>
      </c>
    </row>
    <row r="138" spans="1:12" ht="42">
      <c r="A138" s="136" t="s">
        <v>1803</v>
      </c>
      <c r="B138" s="137" t="s">
        <v>1806</v>
      </c>
      <c r="C138" s="138" t="s">
        <v>1174</v>
      </c>
      <c r="D138" s="138" t="s">
        <v>1168</v>
      </c>
      <c r="E138" s="136" t="s">
        <v>1571</v>
      </c>
      <c r="F138" s="419">
        <v>43100</v>
      </c>
      <c r="G138" s="140">
        <v>16623.253199999999</v>
      </c>
      <c r="H138" s="140">
        <v>138</v>
      </c>
      <c r="I138" s="140">
        <v>37.976109999999998</v>
      </c>
      <c r="J138" s="140">
        <v>560.90789000000007</v>
      </c>
      <c r="K138" s="140">
        <v>4310.9120400000002</v>
      </c>
      <c r="L138" s="140">
        <v>6776.8020700000006</v>
      </c>
    </row>
    <row r="139" spans="1:12" ht="21">
      <c r="A139" s="138" t="s">
        <v>1805</v>
      </c>
      <c r="B139" s="135" t="s">
        <v>1808</v>
      </c>
      <c r="C139" s="136" t="s">
        <v>1297</v>
      </c>
      <c r="D139" s="136" t="s">
        <v>1266</v>
      </c>
      <c r="E139" s="138" t="s">
        <v>1571</v>
      </c>
      <c r="F139" s="420">
        <v>43100</v>
      </c>
      <c r="G139" s="141">
        <v>16508.574769999999</v>
      </c>
      <c r="H139" s="141">
        <v>42</v>
      </c>
      <c r="I139" s="141">
        <v>147.22944000000001</v>
      </c>
      <c r="J139" s="141">
        <v>484.32332000000002</v>
      </c>
      <c r="K139" s="141">
        <v>2042.24557</v>
      </c>
      <c r="L139" s="141">
        <v>3023.3410800000001</v>
      </c>
    </row>
    <row r="140" spans="1:12" ht="31.5">
      <c r="A140" s="136" t="s">
        <v>1807</v>
      </c>
      <c r="B140" s="137" t="s">
        <v>1810</v>
      </c>
      <c r="C140" s="138" t="s">
        <v>606</v>
      </c>
      <c r="D140" s="138" t="s">
        <v>596</v>
      </c>
      <c r="E140" s="136" t="s">
        <v>1571</v>
      </c>
      <c r="F140" s="419">
        <v>43100</v>
      </c>
      <c r="G140" s="140">
        <v>16386.555</v>
      </c>
      <c r="H140" s="140">
        <v>58</v>
      </c>
      <c r="I140" s="140"/>
      <c r="J140" s="140">
        <v>-394.59199999999998</v>
      </c>
      <c r="K140" s="140">
        <v>2588.0639999999999</v>
      </c>
      <c r="L140" s="140">
        <v>2700.306</v>
      </c>
    </row>
    <row r="141" spans="1:12" ht="31.5">
      <c r="A141" s="138" t="s">
        <v>1809</v>
      </c>
      <c r="B141" s="135" t="s">
        <v>1812</v>
      </c>
      <c r="C141" s="136" t="s">
        <v>1129</v>
      </c>
      <c r="D141" s="136" t="s">
        <v>1112</v>
      </c>
      <c r="E141" s="138" t="s">
        <v>1571</v>
      </c>
      <c r="F141" s="420">
        <v>43100</v>
      </c>
      <c r="G141" s="141">
        <v>16284.95933</v>
      </c>
      <c r="H141" s="142" t="s">
        <v>189</v>
      </c>
      <c r="I141" s="142" t="s">
        <v>189</v>
      </c>
      <c r="J141" s="141">
        <v>-355.67878000000002</v>
      </c>
      <c r="K141" s="141">
        <v>12054.50979</v>
      </c>
      <c r="L141" s="141">
        <v>12384.551950000001</v>
      </c>
    </row>
    <row r="142" spans="1:12" ht="21">
      <c r="A142" s="136" t="s">
        <v>1811</v>
      </c>
      <c r="B142" s="137" t="s">
        <v>1814</v>
      </c>
      <c r="C142" s="138" t="s">
        <v>951</v>
      </c>
      <c r="D142" s="138" t="s">
        <v>811</v>
      </c>
      <c r="E142" s="136" t="s">
        <v>1571</v>
      </c>
      <c r="F142" s="419">
        <v>43100</v>
      </c>
      <c r="G142" s="140">
        <v>16198.626310000001</v>
      </c>
      <c r="H142" s="140">
        <v>170</v>
      </c>
      <c r="I142" s="140">
        <v>35.845820000000003</v>
      </c>
      <c r="J142" s="140">
        <v>1.26088</v>
      </c>
      <c r="K142" s="140">
        <v>4307.2722199999998</v>
      </c>
      <c r="L142" s="140">
        <v>4783.4262600000002</v>
      </c>
    </row>
    <row r="143" spans="1:12" ht="42">
      <c r="A143" s="138" t="s">
        <v>1813</v>
      </c>
      <c r="B143" s="135" t="s">
        <v>1816</v>
      </c>
      <c r="C143" s="136" t="s">
        <v>653</v>
      </c>
      <c r="D143" s="136" t="s">
        <v>971</v>
      </c>
      <c r="E143" s="138" t="s">
        <v>1571</v>
      </c>
      <c r="F143" s="420">
        <v>42735</v>
      </c>
      <c r="G143" s="141">
        <v>16038.28104</v>
      </c>
      <c r="H143" s="141">
        <v>456</v>
      </c>
      <c r="I143" s="142" t="s">
        <v>189</v>
      </c>
      <c r="J143" s="141">
        <v>216.54040000000001</v>
      </c>
      <c r="K143" s="141">
        <v>14100.800719999999</v>
      </c>
      <c r="L143" s="141">
        <v>14485.548950000002</v>
      </c>
    </row>
    <row r="144" spans="1:12" ht="31.5">
      <c r="A144" s="136" t="s">
        <v>1815</v>
      </c>
      <c r="B144" s="137" t="s">
        <v>1818</v>
      </c>
      <c r="C144" s="138" t="s">
        <v>757</v>
      </c>
      <c r="D144" s="138" t="s">
        <v>753</v>
      </c>
      <c r="E144" s="136" t="s">
        <v>1571</v>
      </c>
      <c r="F144" s="419">
        <v>43100</v>
      </c>
      <c r="G144" s="140">
        <v>15744.198</v>
      </c>
      <c r="H144" s="140">
        <v>79</v>
      </c>
      <c r="I144" s="140">
        <v>46.640999999999998</v>
      </c>
      <c r="J144" s="140">
        <v>-146.38300000000001</v>
      </c>
      <c r="K144" s="140">
        <v>3418.1930000000002</v>
      </c>
      <c r="L144" s="140">
        <v>3524.049</v>
      </c>
    </row>
    <row r="145" spans="1:12" ht="31.5">
      <c r="A145" s="138" t="s">
        <v>1817</v>
      </c>
      <c r="B145" s="135" t="s">
        <v>1820</v>
      </c>
      <c r="C145" s="136" t="s">
        <v>1397</v>
      </c>
      <c r="D145" s="136" t="s">
        <v>1393</v>
      </c>
      <c r="E145" s="138" t="s">
        <v>1571</v>
      </c>
      <c r="F145" s="420">
        <v>42369</v>
      </c>
      <c r="G145" s="141">
        <v>15707.619000000001</v>
      </c>
      <c r="H145" s="141">
        <v>145</v>
      </c>
      <c r="I145" s="142" t="s">
        <v>189</v>
      </c>
      <c r="J145" s="141">
        <v>-620.25700000000006</v>
      </c>
      <c r="K145" s="141">
        <v>5637.5079999999998</v>
      </c>
      <c r="L145" s="141">
        <v>6180.7240000000002</v>
      </c>
    </row>
    <row r="146" spans="1:12" ht="63">
      <c r="A146" s="136" t="s">
        <v>1819</v>
      </c>
      <c r="B146" s="137" t="s">
        <v>1822</v>
      </c>
      <c r="C146" s="138" t="s">
        <v>1537</v>
      </c>
      <c r="D146" s="138" t="s">
        <v>1279</v>
      </c>
      <c r="E146" s="136" t="s">
        <v>1571</v>
      </c>
      <c r="F146" s="419">
        <v>43100</v>
      </c>
      <c r="G146" s="140">
        <v>15684.434429999999</v>
      </c>
      <c r="H146" s="140">
        <v>17</v>
      </c>
      <c r="I146" s="140">
        <v>22.687799999999999</v>
      </c>
      <c r="J146" s="140">
        <v>100.70567000000001</v>
      </c>
      <c r="K146" s="140">
        <v>788.05051000000003</v>
      </c>
      <c r="L146" s="140">
        <v>971.25263899999993</v>
      </c>
    </row>
    <row r="147" spans="1:12" ht="31.5">
      <c r="A147" s="138" t="s">
        <v>1821</v>
      </c>
      <c r="B147" s="421" t="s">
        <v>1824</v>
      </c>
      <c r="C147" s="136" t="s">
        <v>632</v>
      </c>
      <c r="D147" s="136" t="s">
        <v>1825</v>
      </c>
      <c r="E147" s="138" t="s">
        <v>1571</v>
      </c>
      <c r="F147" s="420">
        <v>42277</v>
      </c>
      <c r="G147" s="141">
        <v>15541.934999999999</v>
      </c>
      <c r="H147" s="141">
        <v>53</v>
      </c>
      <c r="I147" s="141">
        <v>58.209000000000003</v>
      </c>
      <c r="J147" s="141">
        <v>220.34399999999999</v>
      </c>
      <c r="K147" s="141">
        <v>1249.442</v>
      </c>
      <c r="L147" s="141">
        <v>1813.566</v>
      </c>
    </row>
    <row r="148" spans="1:12" ht="42">
      <c r="A148" s="136" t="s">
        <v>1823</v>
      </c>
      <c r="B148" s="137" t="s">
        <v>1827</v>
      </c>
      <c r="C148" s="138" t="s">
        <v>1293</v>
      </c>
      <c r="D148" s="138" t="s">
        <v>1266</v>
      </c>
      <c r="E148" s="136" t="s">
        <v>1571</v>
      </c>
      <c r="F148" s="419">
        <v>42369</v>
      </c>
      <c r="G148" s="140">
        <v>15435.227000000001</v>
      </c>
      <c r="H148" s="140">
        <v>95</v>
      </c>
      <c r="I148" s="140">
        <v>9.5779999999999994</v>
      </c>
      <c r="J148" s="140">
        <v>-337.10899999999998</v>
      </c>
      <c r="K148" s="140">
        <v>3043.779</v>
      </c>
      <c r="L148" s="140">
        <v>3968.538</v>
      </c>
    </row>
    <row r="149" spans="1:12" ht="21">
      <c r="A149" s="138" t="s">
        <v>1826</v>
      </c>
      <c r="B149" s="135" t="s">
        <v>1829</v>
      </c>
      <c r="C149" s="136" t="s">
        <v>1283</v>
      </c>
      <c r="D149" s="136" t="s">
        <v>1266</v>
      </c>
      <c r="E149" s="138" t="s">
        <v>1571</v>
      </c>
      <c r="F149" s="420">
        <v>43100</v>
      </c>
      <c r="G149" s="141">
        <v>15309.72968</v>
      </c>
      <c r="H149" s="141">
        <v>38</v>
      </c>
      <c r="I149" s="141">
        <v>184.89987999999997</v>
      </c>
      <c r="J149" s="141">
        <v>475.45684</v>
      </c>
      <c r="K149" s="141">
        <v>2260.1069200000002</v>
      </c>
      <c r="L149" s="141">
        <v>2982.5364290000002</v>
      </c>
    </row>
    <row r="150" spans="1:12">
      <c r="A150" s="136" t="s">
        <v>1828</v>
      </c>
      <c r="B150" s="137" t="s">
        <v>1831</v>
      </c>
      <c r="C150" s="138" t="s">
        <v>1089</v>
      </c>
      <c r="D150" s="138" t="s">
        <v>969</v>
      </c>
      <c r="E150" s="136" t="s">
        <v>1571</v>
      </c>
      <c r="F150" s="419">
        <v>43100</v>
      </c>
      <c r="G150" s="140">
        <v>15202.786870000002</v>
      </c>
      <c r="H150" s="140">
        <v>92</v>
      </c>
      <c r="I150" s="140"/>
      <c r="J150" s="140">
        <v>178.57854</v>
      </c>
      <c r="K150" s="140">
        <v>3007.9227500000002</v>
      </c>
      <c r="L150" s="140">
        <v>3662.1698899999997</v>
      </c>
    </row>
    <row r="151" spans="1:12">
      <c r="A151" s="138" t="s">
        <v>1830</v>
      </c>
      <c r="B151" s="135" t="s">
        <v>1833</v>
      </c>
      <c r="C151" s="136" t="s">
        <v>847</v>
      </c>
      <c r="D151" s="136" t="s">
        <v>811</v>
      </c>
      <c r="E151" s="138" t="s">
        <v>1571</v>
      </c>
      <c r="F151" s="420">
        <v>43100</v>
      </c>
      <c r="G151" s="141">
        <v>14682.744199999999</v>
      </c>
      <c r="H151" s="141">
        <v>36</v>
      </c>
      <c r="I151" s="141">
        <v>137.50182999999998</v>
      </c>
      <c r="J151" s="141">
        <v>478.24423000000007</v>
      </c>
      <c r="K151" s="141">
        <v>2188.3274099999999</v>
      </c>
      <c r="L151" s="141">
        <v>2868.9940200000001</v>
      </c>
    </row>
    <row r="152" spans="1:12" ht="21">
      <c r="A152" s="136" t="s">
        <v>1832</v>
      </c>
      <c r="B152" s="137" t="s">
        <v>1835</v>
      </c>
      <c r="C152" s="138" t="s">
        <v>1285</v>
      </c>
      <c r="D152" s="138" t="s">
        <v>1266</v>
      </c>
      <c r="E152" s="136" t="s">
        <v>1571</v>
      </c>
      <c r="F152" s="419">
        <v>43100</v>
      </c>
      <c r="G152" s="140">
        <v>14548.4089</v>
      </c>
      <c r="H152" s="140">
        <v>126</v>
      </c>
      <c r="I152" s="140">
        <v>193.12975</v>
      </c>
      <c r="J152" s="140">
        <v>611.7948100000001</v>
      </c>
      <c r="K152" s="140">
        <v>4552.6270000000004</v>
      </c>
      <c r="L152" s="140">
        <v>5559.5870800000002</v>
      </c>
    </row>
    <row r="153" spans="1:12">
      <c r="A153" s="138" t="s">
        <v>1834</v>
      </c>
      <c r="B153" s="135" t="s">
        <v>1837</v>
      </c>
      <c r="C153" s="136" t="s">
        <v>1080</v>
      </c>
      <c r="D153" s="136" t="s">
        <v>969</v>
      </c>
      <c r="E153" s="138" t="s">
        <v>1571</v>
      </c>
      <c r="F153" s="420">
        <v>43100</v>
      </c>
      <c r="G153" s="141">
        <v>14398.6659</v>
      </c>
      <c r="H153" s="141">
        <v>54</v>
      </c>
      <c r="I153" s="141">
        <v>319.17521000000005</v>
      </c>
      <c r="J153" s="141">
        <v>1311.6317900000001</v>
      </c>
      <c r="K153" s="141">
        <v>2173.6534899999997</v>
      </c>
      <c r="L153" s="141">
        <v>4215.8369599999996</v>
      </c>
    </row>
    <row r="154" spans="1:12" ht="31.5">
      <c r="A154" s="136" t="s">
        <v>1836</v>
      </c>
      <c r="B154" s="137" t="s">
        <v>1839</v>
      </c>
      <c r="C154" s="138" t="s">
        <v>720</v>
      </c>
      <c r="D154" s="138" t="s">
        <v>1840</v>
      </c>
      <c r="E154" s="136" t="s">
        <v>1571</v>
      </c>
      <c r="F154" s="419">
        <v>43100</v>
      </c>
      <c r="G154" s="140">
        <v>14228.433719999999</v>
      </c>
      <c r="H154" s="140">
        <v>56</v>
      </c>
      <c r="I154" s="140"/>
      <c r="J154" s="140">
        <v>-299.61788000000001</v>
      </c>
      <c r="K154" s="140">
        <v>2222.5360699999997</v>
      </c>
      <c r="L154" s="140">
        <v>1944.057499</v>
      </c>
    </row>
    <row r="155" spans="1:12" ht="31.5">
      <c r="A155" s="138" t="s">
        <v>1838</v>
      </c>
      <c r="B155" s="135" t="s">
        <v>1842</v>
      </c>
      <c r="C155" s="136" t="s">
        <v>890</v>
      </c>
      <c r="D155" s="136" t="s">
        <v>811</v>
      </c>
      <c r="E155" s="138" t="s">
        <v>1571</v>
      </c>
      <c r="F155" s="420">
        <v>43100</v>
      </c>
      <c r="G155" s="141">
        <v>14204.477950000002</v>
      </c>
      <c r="H155" s="141">
        <v>60</v>
      </c>
      <c r="I155" s="142" t="s">
        <v>189</v>
      </c>
      <c r="J155" s="141">
        <v>541.85797000000002</v>
      </c>
      <c r="K155" s="141">
        <v>2557.63852</v>
      </c>
      <c r="L155" s="141">
        <v>3828.3642000000004</v>
      </c>
    </row>
    <row r="156" spans="1:12">
      <c r="A156" s="136" t="s">
        <v>1841</v>
      </c>
      <c r="B156" s="137" t="s">
        <v>1844</v>
      </c>
      <c r="C156" s="138" t="s">
        <v>704</v>
      </c>
      <c r="D156" s="138" t="s">
        <v>703</v>
      </c>
      <c r="E156" s="136" t="s">
        <v>1571</v>
      </c>
      <c r="F156" s="419">
        <v>43100</v>
      </c>
      <c r="G156" s="140">
        <v>14060.064280000001</v>
      </c>
      <c r="H156" s="140">
        <v>28</v>
      </c>
      <c r="I156" s="140">
        <v>231.35276000000002</v>
      </c>
      <c r="J156" s="140">
        <v>654.54359999999997</v>
      </c>
      <c r="K156" s="140">
        <v>1576.31124</v>
      </c>
      <c r="L156" s="140">
        <v>2565.6747800000003</v>
      </c>
    </row>
    <row r="157" spans="1:12" ht="42">
      <c r="A157" s="138" t="s">
        <v>1843</v>
      </c>
      <c r="B157" s="421" t="s">
        <v>1846</v>
      </c>
      <c r="C157" s="136" t="s">
        <v>1226</v>
      </c>
      <c r="D157" s="136" t="s">
        <v>1227</v>
      </c>
      <c r="E157" s="138" t="s">
        <v>1571</v>
      </c>
      <c r="F157" s="420">
        <v>38717</v>
      </c>
      <c r="G157" s="141">
        <v>13830.750950000001</v>
      </c>
      <c r="H157" s="141">
        <v>38</v>
      </c>
      <c r="I157" s="141">
        <v>210.00151000000002</v>
      </c>
      <c r="J157" s="141">
        <v>1055.0354600000001</v>
      </c>
      <c r="K157" s="141">
        <v>1250.6713400000001</v>
      </c>
      <c r="L157" s="141">
        <v>3014.9152600000002</v>
      </c>
    </row>
    <row r="158" spans="1:12" ht="52.5">
      <c r="A158" s="136" t="s">
        <v>1845</v>
      </c>
      <c r="B158" s="137" t="s">
        <v>1848</v>
      </c>
      <c r="C158" s="138" t="s">
        <v>1432</v>
      </c>
      <c r="D158" s="138" t="s">
        <v>1429</v>
      </c>
      <c r="E158" s="136" t="s">
        <v>1571</v>
      </c>
      <c r="F158" s="419">
        <v>39813</v>
      </c>
      <c r="G158" s="140">
        <v>13154.38003</v>
      </c>
      <c r="H158" s="140">
        <v>33</v>
      </c>
      <c r="I158" s="140">
        <v>874.50900999999999</v>
      </c>
      <c r="J158" s="140">
        <v>2511.7970800000003</v>
      </c>
      <c r="K158" s="140">
        <v>1111.44551</v>
      </c>
      <c r="L158" s="140">
        <v>4958.4844599999997</v>
      </c>
    </row>
    <row r="159" spans="1:12" ht="21">
      <c r="A159" s="138" t="s">
        <v>1847</v>
      </c>
      <c r="B159" s="135" t="s">
        <v>1850</v>
      </c>
      <c r="C159" s="136" t="s">
        <v>604</v>
      </c>
      <c r="D159" s="136" t="s">
        <v>596</v>
      </c>
      <c r="E159" s="138" t="s">
        <v>1571</v>
      </c>
      <c r="F159" s="420">
        <v>43100</v>
      </c>
      <c r="G159" s="141">
        <v>13098</v>
      </c>
      <c r="H159" s="141">
        <v>69</v>
      </c>
      <c r="I159" s="142" t="s">
        <v>189</v>
      </c>
      <c r="J159" s="141">
        <v>-22823</v>
      </c>
      <c r="K159" s="141">
        <v>4127</v>
      </c>
      <c r="L159" s="141">
        <v>925</v>
      </c>
    </row>
    <row r="160" spans="1:12" ht="31.5">
      <c r="A160" s="136" t="s">
        <v>1849</v>
      </c>
      <c r="B160" s="137" t="s">
        <v>1852</v>
      </c>
      <c r="C160" s="138" t="s">
        <v>1507</v>
      </c>
      <c r="D160" s="138" t="s">
        <v>1501</v>
      </c>
      <c r="E160" s="136" t="s">
        <v>1571</v>
      </c>
      <c r="F160" s="419">
        <v>43100</v>
      </c>
      <c r="G160" s="140">
        <v>12731.264000000001</v>
      </c>
      <c r="H160" s="140">
        <v>52</v>
      </c>
      <c r="I160" s="143" t="s">
        <v>189</v>
      </c>
      <c r="J160" s="140">
        <v>174.017</v>
      </c>
      <c r="K160" s="140">
        <v>2358.779</v>
      </c>
      <c r="L160" s="140">
        <v>3138.3470000000002</v>
      </c>
    </row>
    <row r="161" spans="1:12" ht="42">
      <c r="A161" s="138" t="s">
        <v>1851</v>
      </c>
      <c r="B161" s="421" t="s">
        <v>1854</v>
      </c>
      <c r="C161" s="136" t="s">
        <v>1140</v>
      </c>
      <c r="D161" s="136" t="s">
        <v>1135</v>
      </c>
      <c r="E161" s="138" t="s">
        <v>1571</v>
      </c>
      <c r="F161" s="420">
        <v>43100</v>
      </c>
      <c r="G161" s="141">
        <v>12442.87234</v>
      </c>
      <c r="H161" s="141">
        <v>40</v>
      </c>
      <c r="I161" s="141">
        <v>469.19600000000003</v>
      </c>
      <c r="J161" s="141">
        <v>536.06528999999989</v>
      </c>
      <c r="K161" s="141">
        <v>1779.22704</v>
      </c>
      <c r="L161" s="141">
        <v>3078.1347400000004</v>
      </c>
    </row>
    <row r="162" spans="1:12">
      <c r="A162" s="136" t="s">
        <v>1853</v>
      </c>
      <c r="B162" s="137" t="s">
        <v>1856</v>
      </c>
      <c r="C162" s="138" t="s">
        <v>710</v>
      </c>
      <c r="D162" s="138" t="s">
        <v>711</v>
      </c>
      <c r="E162" s="136" t="s">
        <v>1571</v>
      </c>
      <c r="F162" s="419">
        <v>42004</v>
      </c>
      <c r="G162" s="140">
        <v>12438.946</v>
      </c>
      <c r="H162" s="140">
        <v>61</v>
      </c>
      <c r="I162" s="140"/>
      <c r="J162" s="140">
        <v>-174.04</v>
      </c>
      <c r="K162" s="140">
        <v>2070.174</v>
      </c>
      <c r="L162" s="140">
        <v>2510.069</v>
      </c>
    </row>
    <row r="163" spans="1:12" ht="63">
      <c r="A163" s="138" t="s">
        <v>1855</v>
      </c>
      <c r="B163" s="135" t="s">
        <v>1858</v>
      </c>
      <c r="C163" s="136" t="s">
        <v>1054</v>
      </c>
      <c r="D163" s="136" t="s">
        <v>971</v>
      </c>
      <c r="E163" s="138" t="s">
        <v>1571</v>
      </c>
      <c r="F163" s="420">
        <v>42735</v>
      </c>
      <c r="G163" s="141">
        <v>12073.392</v>
      </c>
      <c r="H163" s="141">
        <v>66</v>
      </c>
      <c r="I163" s="141">
        <v>50.245000000000005</v>
      </c>
      <c r="J163" s="141">
        <v>93.847999999999999</v>
      </c>
      <c r="K163" s="141">
        <v>1897.91</v>
      </c>
      <c r="L163" s="141">
        <v>2284.6590000000001</v>
      </c>
    </row>
    <row r="164" spans="1:12" ht="52.5">
      <c r="A164" s="136" t="s">
        <v>1857</v>
      </c>
      <c r="B164" s="137" t="s">
        <v>1860</v>
      </c>
      <c r="C164" s="138" t="s">
        <v>1313</v>
      </c>
      <c r="D164" s="138" t="s">
        <v>1312</v>
      </c>
      <c r="E164" s="136" t="s">
        <v>1571</v>
      </c>
      <c r="F164" s="419">
        <v>43100</v>
      </c>
      <c r="G164" s="140">
        <v>12060.787480000001</v>
      </c>
      <c r="H164" s="140">
        <v>172</v>
      </c>
      <c r="I164" s="143" t="s">
        <v>189</v>
      </c>
      <c r="J164" s="140">
        <v>212.43281999999999</v>
      </c>
      <c r="K164" s="140">
        <v>8330.3715499999998</v>
      </c>
      <c r="L164" s="140">
        <v>10273.620289999999</v>
      </c>
    </row>
    <row r="165" spans="1:12" ht="31.5">
      <c r="A165" s="138" t="s">
        <v>1859</v>
      </c>
      <c r="B165" s="135" t="s">
        <v>1862</v>
      </c>
      <c r="C165" s="136" t="s">
        <v>1354</v>
      </c>
      <c r="D165" s="136" t="s">
        <v>1341</v>
      </c>
      <c r="E165" s="138" t="s">
        <v>1571</v>
      </c>
      <c r="F165" s="420">
        <v>43100</v>
      </c>
      <c r="G165" s="141">
        <v>11959.71961</v>
      </c>
      <c r="H165" s="141">
        <v>21</v>
      </c>
      <c r="I165" s="141">
        <v>18.363400000000002</v>
      </c>
      <c r="J165" s="141">
        <v>60.537680000000002</v>
      </c>
      <c r="K165" s="141">
        <v>1297.2260600000002</v>
      </c>
      <c r="L165" s="141">
        <v>1517.01046</v>
      </c>
    </row>
    <row r="166" spans="1:12" ht="31.5">
      <c r="A166" s="136" t="s">
        <v>1861</v>
      </c>
      <c r="B166" s="137" t="s">
        <v>1864</v>
      </c>
      <c r="C166" s="138" t="s">
        <v>702</v>
      </c>
      <c r="D166" s="138" t="s">
        <v>703</v>
      </c>
      <c r="E166" s="136" t="s">
        <v>1571</v>
      </c>
      <c r="F166" s="419">
        <v>43100</v>
      </c>
      <c r="G166" s="140">
        <v>11727.904779999999</v>
      </c>
      <c r="H166" s="140">
        <v>43</v>
      </c>
      <c r="I166" s="140">
        <v>75.685779999999994</v>
      </c>
      <c r="J166" s="140">
        <v>316.36183999999997</v>
      </c>
      <c r="K166" s="140">
        <v>1746.3368600000001</v>
      </c>
      <c r="L166" s="140">
        <v>2371.3523099999998</v>
      </c>
    </row>
    <row r="167" spans="1:12" ht="52.5">
      <c r="A167" s="138" t="s">
        <v>1863</v>
      </c>
      <c r="B167" s="135" t="s">
        <v>1866</v>
      </c>
      <c r="C167" s="136" t="s">
        <v>623</v>
      </c>
      <c r="D167" s="136" t="s">
        <v>596</v>
      </c>
      <c r="E167" s="138" t="s">
        <v>1571</v>
      </c>
      <c r="F167" s="420">
        <v>43100</v>
      </c>
      <c r="G167" s="141">
        <v>11584.115860000002</v>
      </c>
      <c r="H167" s="141">
        <v>50</v>
      </c>
      <c r="I167" s="141">
        <v>251.07853</v>
      </c>
      <c r="J167" s="141">
        <v>1071.0158790000003</v>
      </c>
      <c r="K167" s="141">
        <v>3090.1955000000003</v>
      </c>
      <c r="L167" s="141">
        <v>5034.0014790000005</v>
      </c>
    </row>
    <row r="168" spans="1:12" ht="31.5">
      <c r="A168" s="136" t="s">
        <v>1865</v>
      </c>
      <c r="B168" s="137" t="s">
        <v>1868</v>
      </c>
      <c r="C168" s="138" t="s">
        <v>931</v>
      </c>
      <c r="D168" s="138" t="s">
        <v>811</v>
      </c>
      <c r="E168" s="136" t="s">
        <v>1571</v>
      </c>
      <c r="F168" s="419">
        <v>43100</v>
      </c>
      <c r="G168" s="140">
        <v>11501.952060000001</v>
      </c>
      <c r="H168" s="140">
        <v>45</v>
      </c>
      <c r="I168" s="140">
        <v>263.73966899999999</v>
      </c>
      <c r="J168" s="140">
        <v>1030.44001</v>
      </c>
      <c r="K168" s="140">
        <v>1830.1628600000001</v>
      </c>
      <c r="L168" s="140">
        <v>3181.879559</v>
      </c>
    </row>
    <row r="169" spans="1:12" ht="31.5">
      <c r="A169" s="138" t="s">
        <v>1867</v>
      </c>
      <c r="B169" s="135" t="s">
        <v>1870</v>
      </c>
      <c r="C169" s="136" t="s">
        <v>869</v>
      </c>
      <c r="D169" s="136" t="s">
        <v>811</v>
      </c>
      <c r="E169" s="138" t="s">
        <v>1571</v>
      </c>
      <c r="F169" s="420">
        <v>43100</v>
      </c>
      <c r="G169" s="141">
        <v>11433.219520000001</v>
      </c>
      <c r="H169" s="141">
        <v>118</v>
      </c>
      <c r="I169" s="141"/>
      <c r="J169" s="141">
        <v>-45.779129999999995</v>
      </c>
      <c r="K169" s="141">
        <v>5031.2569599999997</v>
      </c>
      <c r="L169" s="141">
        <v>5710.4216589999987</v>
      </c>
    </row>
    <row r="170" spans="1:12" ht="31.5">
      <c r="A170" s="136" t="s">
        <v>1869</v>
      </c>
      <c r="B170" s="137" t="s">
        <v>1872</v>
      </c>
      <c r="C170" s="138" t="s">
        <v>1377</v>
      </c>
      <c r="D170" s="138" t="s">
        <v>1564</v>
      </c>
      <c r="E170" s="136" t="s">
        <v>1571</v>
      </c>
      <c r="F170" s="419">
        <v>43100</v>
      </c>
      <c r="G170" s="140">
        <v>11384.263000000001</v>
      </c>
      <c r="H170" s="140">
        <v>58</v>
      </c>
      <c r="I170" s="140">
        <v>5.2940000000000005</v>
      </c>
      <c r="J170" s="140">
        <v>302.19900000000001</v>
      </c>
      <c r="K170" s="140">
        <v>3871.0740000000001</v>
      </c>
      <c r="L170" s="140">
        <v>4671.5830000000005</v>
      </c>
    </row>
    <row r="171" spans="1:12" ht="42">
      <c r="A171" s="138" t="s">
        <v>1871</v>
      </c>
      <c r="B171" s="135" t="s">
        <v>1874</v>
      </c>
      <c r="C171" s="136" t="s">
        <v>892</v>
      </c>
      <c r="D171" s="136" t="s">
        <v>811</v>
      </c>
      <c r="E171" s="138" t="s">
        <v>1571</v>
      </c>
      <c r="F171" s="420">
        <v>43100</v>
      </c>
      <c r="G171" s="141">
        <v>11208.840900000001</v>
      </c>
      <c r="H171" s="141">
        <v>13</v>
      </c>
      <c r="I171" s="141">
        <v>32.563800000000001</v>
      </c>
      <c r="J171" s="141">
        <v>71.118250000000003</v>
      </c>
      <c r="K171" s="141">
        <v>711.7333000000001</v>
      </c>
      <c r="L171" s="141">
        <v>929.27626999999995</v>
      </c>
    </row>
    <row r="172" spans="1:12" ht="21">
      <c r="A172" s="136" t="s">
        <v>1873</v>
      </c>
      <c r="B172" s="137" t="s">
        <v>1876</v>
      </c>
      <c r="C172" s="138" t="s">
        <v>709</v>
      </c>
      <c r="D172" s="138" t="s">
        <v>705</v>
      </c>
      <c r="E172" s="136" t="s">
        <v>1571</v>
      </c>
      <c r="F172" s="419">
        <v>43100</v>
      </c>
      <c r="G172" s="140">
        <v>11200.982450000001</v>
      </c>
      <c r="H172" s="140">
        <v>49</v>
      </c>
      <c r="I172" s="140">
        <v>96.643339999999995</v>
      </c>
      <c r="J172" s="140">
        <v>300.64714999999995</v>
      </c>
      <c r="K172" s="140">
        <v>2093.9146600000004</v>
      </c>
      <c r="L172" s="140">
        <v>2716.8455899999999</v>
      </c>
    </row>
    <row r="173" spans="1:12" ht="21">
      <c r="A173" s="138" t="s">
        <v>1875</v>
      </c>
      <c r="B173" s="135" t="s">
        <v>1878</v>
      </c>
      <c r="C173" s="136" t="s">
        <v>792</v>
      </c>
      <c r="D173" s="136" t="s">
        <v>789</v>
      </c>
      <c r="E173" s="138" t="s">
        <v>1571</v>
      </c>
      <c r="F173" s="420">
        <v>43100</v>
      </c>
      <c r="G173" s="141">
        <v>11126.409589999999</v>
      </c>
      <c r="H173" s="141">
        <v>65</v>
      </c>
      <c r="I173" s="141">
        <v>139.71869000000001</v>
      </c>
      <c r="J173" s="141">
        <v>239.85980000000001</v>
      </c>
      <c r="K173" s="141">
        <v>2430.7996600000001</v>
      </c>
      <c r="L173" s="141">
        <v>2858.4069499999996</v>
      </c>
    </row>
    <row r="174" spans="1:12">
      <c r="A174" s="136" t="s">
        <v>1877</v>
      </c>
      <c r="B174" s="137" t="s">
        <v>1880</v>
      </c>
      <c r="C174" s="138" t="s">
        <v>799</v>
      </c>
      <c r="D174" s="138" t="s">
        <v>800</v>
      </c>
      <c r="E174" s="136" t="s">
        <v>1571</v>
      </c>
      <c r="F174" s="419">
        <v>42735</v>
      </c>
      <c r="G174" s="140">
        <v>11118.125</v>
      </c>
      <c r="H174" s="140">
        <v>28</v>
      </c>
      <c r="I174" s="140">
        <v>90.582000000000008</v>
      </c>
      <c r="J174" s="140">
        <v>968.93000000000006</v>
      </c>
      <c r="K174" s="140">
        <v>995.11</v>
      </c>
      <c r="L174" s="140">
        <v>2317.4189999999999</v>
      </c>
    </row>
    <row r="175" spans="1:12" ht="52.5">
      <c r="A175" s="138" t="s">
        <v>1879</v>
      </c>
      <c r="B175" s="135" t="s">
        <v>1882</v>
      </c>
      <c r="C175" s="136" t="s">
        <v>895</v>
      </c>
      <c r="D175" s="136" t="s">
        <v>811</v>
      </c>
      <c r="E175" s="138" t="s">
        <v>1571</v>
      </c>
      <c r="F175" s="420">
        <v>43100</v>
      </c>
      <c r="G175" s="141">
        <v>10885.43</v>
      </c>
      <c r="H175" s="141">
        <v>76</v>
      </c>
      <c r="I175" s="141">
        <v>22.375</v>
      </c>
      <c r="J175" s="141">
        <v>643.53499999999997</v>
      </c>
      <c r="K175" s="141">
        <v>3063.038</v>
      </c>
      <c r="L175" s="141">
        <v>4092.5419999999999</v>
      </c>
    </row>
    <row r="176" spans="1:12" ht="21">
      <c r="A176" s="136" t="s">
        <v>1881</v>
      </c>
      <c r="B176" s="137" t="s">
        <v>1884</v>
      </c>
      <c r="C176" s="138" t="s">
        <v>1264</v>
      </c>
      <c r="D176" s="138" t="s">
        <v>1266</v>
      </c>
      <c r="E176" s="136" t="s">
        <v>1571</v>
      </c>
      <c r="F176" s="419">
        <v>43100</v>
      </c>
      <c r="G176" s="140">
        <v>10604.294</v>
      </c>
      <c r="H176" s="140">
        <v>33</v>
      </c>
      <c r="I176" s="143" t="s">
        <v>189</v>
      </c>
      <c r="J176" s="140">
        <v>-3576.6489999999999</v>
      </c>
      <c r="K176" s="140">
        <v>1323.258</v>
      </c>
      <c r="L176" s="140">
        <v>1686.25</v>
      </c>
    </row>
    <row r="177" spans="1:12">
      <c r="A177" s="138" t="s">
        <v>1883</v>
      </c>
      <c r="B177" s="135" t="s">
        <v>1886</v>
      </c>
      <c r="C177" s="136" t="s">
        <v>733</v>
      </c>
      <c r="D177" s="136" t="s">
        <v>726</v>
      </c>
      <c r="E177" s="138" t="s">
        <v>1571</v>
      </c>
      <c r="F177" s="420">
        <v>43100</v>
      </c>
      <c r="G177" s="141">
        <v>10537.48914</v>
      </c>
      <c r="H177" s="141">
        <v>25</v>
      </c>
      <c r="I177" s="141">
        <v>80.464330000000004</v>
      </c>
      <c r="J177" s="141">
        <v>53.060950000000005</v>
      </c>
      <c r="K177" s="141">
        <v>995.27716999999996</v>
      </c>
      <c r="L177" s="141">
        <v>1441.3590200000001</v>
      </c>
    </row>
    <row r="178" spans="1:12" ht="21">
      <c r="A178" s="136" t="s">
        <v>1885</v>
      </c>
      <c r="B178" s="137" t="s">
        <v>1888</v>
      </c>
      <c r="C178" s="138" t="s">
        <v>1349</v>
      </c>
      <c r="D178" s="138" t="s">
        <v>1266</v>
      </c>
      <c r="E178" s="136" t="s">
        <v>1571</v>
      </c>
      <c r="F178" s="419">
        <v>43100</v>
      </c>
      <c r="G178" s="140">
        <v>10370.808429999999</v>
      </c>
      <c r="H178" s="140">
        <v>35</v>
      </c>
      <c r="I178" s="140">
        <v>4.9246000000000008</v>
      </c>
      <c r="J178" s="140">
        <v>27.79879</v>
      </c>
      <c r="K178" s="140">
        <v>1467.74512</v>
      </c>
      <c r="L178" s="140">
        <v>1611.6017300000001</v>
      </c>
    </row>
    <row r="179" spans="1:12" ht="42">
      <c r="A179" s="138" t="s">
        <v>1887</v>
      </c>
      <c r="B179" s="135" t="s">
        <v>1890</v>
      </c>
      <c r="C179" s="136" t="s">
        <v>1269</v>
      </c>
      <c r="D179" s="136" t="s">
        <v>1797</v>
      </c>
      <c r="E179" s="138" t="s">
        <v>1571</v>
      </c>
      <c r="F179" s="420">
        <v>43100</v>
      </c>
      <c r="G179" s="141">
        <v>10250.15508</v>
      </c>
      <c r="H179" s="141">
        <v>11</v>
      </c>
      <c r="I179" s="142" t="s">
        <v>189</v>
      </c>
      <c r="J179" s="141">
        <v>5.5536800000000008</v>
      </c>
      <c r="K179" s="141">
        <v>376.29426000000001</v>
      </c>
      <c r="L179" s="141">
        <v>394.39254</v>
      </c>
    </row>
    <row r="180" spans="1:12" ht="21">
      <c r="A180" s="136" t="s">
        <v>1889</v>
      </c>
      <c r="B180" s="137" t="s">
        <v>1892</v>
      </c>
      <c r="C180" s="138" t="s">
        <v>783</v>
      </c>
      <c r="D180" s="138" t="s">
        <v>782</v>
      </c>
      <c r="E180" s="136" t="s">
        <v>1571</v>
      </c>
      <c r="F180" s="419">
        <v>43100</v>
      </c>
      <c r="G180" s="140">
        <v>10221</v>
      </c>
      <c r="H180" s="140">
        <v>91</v>
      </c>
      <c r="I180" s="140">
        <v>456</v>
      </c>
      <c r="J180" s="140">
        <v>1173</v>
      </c>
      <c r="K180" s="140">
        <v>4482</v>
      </c>
      <c r="L180" s="140">
        <v>6368</v>
      </c>
    </row>
    <row r="181" spans="1:12" ht="52.5">
      <c r="A181" s="138" t="s">
        <v>1891</v>
      </c>
      <c r="B181" s="135" t="s">
        <v>1894</v>
      </c>
      <c r="C181" s="136" t="s">
        <v>1315</v>
      </c>
      <c r="D181" s="136" t="s">
        <v>1316</v>
      </c>
      <c r="E181" s="138" t="s">
        <v>1571</v>
      </c>
      <c r="F181" s="420">
        <v>42735</v>
      </c>
      <c r="G181" s="141">
        <v>10191.42419</v>
      </c>
      <c r="H181" s="141">
        <v>30</v>
      </c>
      <c r="I181" s="141">
        <v>154.70672000000002</v>
      </c>
      <c r="J181" s="141">
        <v>960.29945000000009</v>
      </c>
      <c r="K181" s="141">
        <v>1412.15174</v>
      </c>
      <c r="L181" s="141">
        <v>2750.4843799999999</v>
      </c>
    </row>
    <row r="182" spans="1:12">
      <c r="A182" s="136" t="s">
        <v>1893</v>
      </c>
      <c r="B182" s="137" t="s">
        <v>1896</v>
      </c>
      <c r="C182" s="138" t="s">
        <v>1093</v>
      </c>
      <c r="D182" s="138" t="s">
        <v>969</v>
      </c>
      <c r="E182" s="136" t="s">
        <v>1571</v>
      </c>
      <c r="F182" s="419">
        <v>43100</v>
      </c>
      <c r="G182" s="140">
        <v>10092.607370000002</v>
      </c>
      <c r="H182" s="140">
        <v>56</v>
      </c>
      <c r="I182" s="140">
        <v>89.186650000000014</v>
      </c>
      <c r="J182" s="140">
        <v>653.32456000000002</v>
      </c>
      <c r="K182" s="140">
        <v>2858.0108899999996</v>
      </c>
      <c r="L182" s="140">
        <v>5248.2464890000001</v>
      </c>
    </row>
    <row r="183" spans="1:12">
      <c r="A183" s="138" t="s">
        <v>1895</v>
      </c>
      <c r="B183" s="135" t="s">
        <v>1898</v>
      </c>
      <c r="C183" s="136" t="s">
        <v>842</v>
      </c>
      <c r="D183" s="136" t="s">
        <v>811</v>
      </c>
      <c r="E183" s="138" t="s">
        <v>1571</v>
      </c>
      <c r="F183" s="420">
        <v>42369</v>
      </c>
      <c r="G183" s="141">
        <v>10011.7935</v>
      </c>
      <c r="H183" s="141">
        <v>36</v>
      </c>
      <c r="I183" s="141">
        <v>10.76751</v>
      </c>
      <c r="J183" s="141">
        <v>269.77974</v>
      </c>
      <c r="K183" s="141">
        <v>1220.8196600000001</v>
      </c>
      <c r="L183" s="141">
        <v>1576.1382700000001</v>
      </c>
    </row>
    <row r="184" spans="1:12" ht="42">
      <c r="A184" s="136" t="s">
        <v>1897</v>
      </c>
      <c r="B184" s="137" t="s">
        <v>1900</v>
      </c>
      <c r="C184" s="138" t="s">
        <v>802</v>
      </c>
      <c r="D184" s="138" t="s">
        <v>800</v>
      </c>
      <c r="E184" s="136" t="s">
        <v>1571</v>
      </c>
      <c r="F184" s="419">
        <v>42735</v>
      </c>
      <c r="G184" s="140">
        <v>9992.8163199999999</v>
      </c>
      <c r="H184" s="140">
        <v>171</v>
      </c>
      <c r="I184" s="143" t="s">
        <v>189</v>
      </c>
      <c r="J184" s="140">
        <v>89.70295999999999</v>
      </c>
      <c r="K184" s="140">
        <v>6448.6145800000004</v>
      </c>
      <c r="L184" s="140">
        <v>6972.1353300000001</v>
      </c>
    </row>
    <row r="185" spans="1:12">
      <c r="A185" s="138" t="s">
        <v>1899</v>
      </c>
      <c r="B185" s="135" t="s">
        <v>1902</v>
      </c>
      <c r="C185" s="136" t="s">
        <v>794</v>
      </c>
      <c r="D185" s="136" t="s">
        <v>795</v>
      </c>
      <c r="E185" s="138" t="s">
        <v>1571</v>
      </c>
      <c r="F185" s="420">
        <v>43100</v>
      </c>
      <c r="G185" s="141">
        <v>9849.0207499999997</v>
      </c>
      <c r="H185" s="141">
        <v>55</v>
      </c>
      <c r="I185" s="141">
        <v>84.630909999999986</v>
      </c>
      <c r="J185" s="141">
        <v>237.44431999999998</v>
      </c>
      <c r="K185" s="141">
        <v>2751.1924600000002</v>
      </c>
      <c r="L185" s="141">
        <v>3418.2206600000004</v>
      </c>
    </row>
    <row r="186" spans="1:12" ht="31.5">
      <c r="A186" s="136" t="s">
        <v>1901</v>
      </c>
      <c r="B186" s="137" t="s">
        <v>1904</v>
      </c>
      <c r="C186" s="138" t="s">
        <v>813</v>
      </c>
      <c r="D186" s="138" t="s">
        <v>188</v>
      </c>
      <c r="E186" s="136" t="s">
        <v>1571</v>
      </c>
      <c r="F186" s="419">
        <v>43100</v>
      </c>
      <c r="G186" s="140">
        <v>9711.469000000001</v>
      </c>
      <c r="H186" s="140">
        <v>30</v>
      </c>
      <c r="I186" s="140">
        <v>173.852</v>
      </c>
      <c r="J186" s="140">
        <v>238.30100000000002</v>
      </c>
      <c r="K186" s="140">
        <v>1313.7940000000001</v>
      </c>
      <c r="L186" s="140">
        <v>1876.8040000000001</v>
      </c>
    </row>
    <row r="187" spans="1:12" ht="42">
      <c r="A187" s="138" t="s">
        <v>1903</v>
      </c>
      <c r="B187" s="135" t="s">
        <v>1906</v>
      </c>
      <c r="C187" s="136" t="s">
        <v>1424</v>
      </c>
      <c r="D187" s="136" t="s">
        <v>811</v>
      </c>
      <c r="E187" s="138" t="s">
        <v>1571</v>
      </c>
      <c r="F187" s="420">
        <v>43100</v>
      </c>
      <c r="G187" s="141">
        <v>9600.4993200000008</v>
      </c>
      <c r="H187" s="141">
        <v>74</v>
      </c>
      <c r="I187" s="142" t="s">
        <v>189</v>
      </c>
      <c r="J187" s="141">
        <v>730.89432000000011</v>
      </c>
      <c r="K187" s="141">
        <v>4874.8919999999998</v>
      </c>
      <c r="L187" s="141">
        <v>5883.8463199999997</v>
      </c>
    </row>
    <row r="188" spans="1:12" ht="21">
      <c r="A188" s="136" t="s">
        <v>1905</v>
      </c>
      <c r="B188" s="137" t="s">
        <v>1908</v>
      </c>
      <c r="C188" s="138" t="s">
        <v>1314</v>
      </c>
      <c r="D188" s="138" t="s">
        <v>1312</v>
      </c>
      <c r="E188" s="136" t="s">
        <v>1571</v>
      </c>
      <c r="F188" s="419">
        <v>42369</v>
      </c>
      <c r="G188" s="140">
        <v>9440.0990000000002</v>
      </c>
      <c r="H188" s="140">
        <v>45</v>
      </c>
      <c r="I188" s="143" t="s">
        <v>189</v>
      </c>
      <c r="J188" s="140">
        <v>-761.22400000000005</v>
      </c>
      <c r="K188" s="140">
        <v>2249.0219999999999</v>
      </c>
      <c r="L188" s="140">
        <v>1804.171</v>
      </c>
    </row>
    <row r="189" spans="1:12" ht="52.5">
      <c r="A189" s="138" t="s">
        <v>1907</v>
      </c>
      <c r="B189" s="135" t="s">
        <v>1910</v>
      </c>
      <c r="C189" s="136" t="s">
        <v>1337</v>
      </c>
      <c r="D189" s="136" t="s">
        <v>1320</v>
      </c>
      <c r="E189" s="138" t="s">
        <v>1571</v>
      </c>
      <c r="F189" s="420">
        <v>43100</v>
      </c>
      <c r="G189" s="141">
        <v>9410.188729999998</v>
      </c>
      <c r="H189" s="141">
        <v>16</v>
      </c>
      <c r="I189" s="141">
        <v>141.21761000000001</v>
      </c>
      <c r="J189" s="141">
        <v>408.42183999999997</v>
      </c>
      <c r="K189" s="141">
        <v>759.69304</v>
      </c>
      <c r="L189" s="141">
        <v>1344.23029</v>
      </c>
    </row>
    <row r="190" spans="1:12" ht="31.5">
      <c r="A190" s="136" t="s">
        <v>1909</v>
      </c>
      <c r="B190" s="137" t="s">
        <v>1912</v>
      </c>
      <c r="C190" s="138" t="s">
        <v>1018</v>
      </c>
      <c r="D190" s="138" t="s">
        <v>1013</v>
      </c>
      <c r="E190" s="136" t="s">
        <v>1571</v>
      </c>
      <c r="F190" s="419">
        <v>42794</v>
      </c>
      <c r="G190" s="140">
        <v>9298.0072899999996</v>
      </c>
      <c r="H190" s="140">
        <v>28</v>
      </c>
      <c r="I190" s="140">
        <v>43.985610000000001</v>
      </c>
      <c r="J190" s="140">
        <v>91.066070000000011</v>
      </c>
      <c r="K190" s="140">
        <v>858.61552000000006</v>
      </c>
      <c r="L190" s="140">
        <v>1189.93749</v>
      </c>
    </row>
    <row r="191" spans="1:12" ht="31.5">
      <c r="A191" s="138" t="s">
        <v>1911</v>
      </c>
      <c r="B191" s="135" t="s">
        <v>1914</v>
      </c>
      <c r="C191" s="136" t="s">
        <v>1228</v>
      </c>
      <c r="D191" s="136" t="s">
        <v>1229</v>
      </c>
      <c r="E191" s="138" t="s">
        <v>1571</v>
      </c>
      <c r="F191" s="420">
        <v>42735</v>
      </c>
      <c r="G191" s="141">
        <v>8850.6735800000006</v>
      </c>
      <c r="H191" s="141">
        <v>88</v>
      </c>
      <c r="I191" s="141">
        <v>31.043560000000003</v>
      </c>
      <c r="J191" s="141">
        <v>201.85063</v>
      </c>
      <c r="K191" s="141">
        <v>2518.4686099999999</v>
      </c>
      <c r="L191" s="141">
        <v>2841.7742390000003</v>
      </c>
    </row>
    <row r="192" spans="1:12" ht="31.5">
      <c r="A192" s="136" t="s">
        <v>1913</v>
      </c>
      <c r="B192" s="137" t="s">
        <v>1916</v>
      </c>
      <c r="C192" s="138" t="s">
        <v>1499</v>
      </c>
      <c r="D192" s="138" t="s">
        <v>1474</v>
      </c>
      <c r="E192" s="136" t="s">
        <v>1571</v>
      </c>
      <c r="F192" s="419">
        <v>42735</v>
      </c>
      <c r="G192" s="140">
        <v>8802.3350000000009</v>
      </c>
      <c r="H192" s="140">
        <v>72</v>
      </c>
      <c r="I192" s="143" t="s">
        <v>189</v>
      </c>
      <c r="J192" s="140">
        <v>-112.205</v>
      </c>
      <c r="K192" s="140">
        <v>3297.154</v>
      </c>
      <c r="L192" s="140">
        <v>4539.1220000000003</v>
      </c>
    </row>
    <row r="193" spans="1:12" ht="52.5">
      <c r="A193" s="138" t="s">
        <v>1915</v>
      </c>
      <c r="B193" s="135" t="s">
        <v>1918</v>
      </c>
      <c r="C193" s="136" t="s">
        <v>1075</v>
      </c>
      <c r="D193" s="136" t="s">
        <v>969</v>
      </c>
      <c r="E193" s="138" t="s">
        <v>1571</v>
      </c>
      <c r="F193" s="420">
        <v>43100</v>
      </c>
      <c r="G193" s="141">
        <v>8744.9476899999991</v>
      </c>
      <c r="H193" s="141">
        <v>40</v>
      </c>
      <c r="I193" s="141">
        <v>102.36778</v>
      </c>
      <c r="J193" s="141">
        <v>272.57203999999996</v>
      </c>
      <c r="K193" s="141">
        <v>2708.8643499999998</v>
      </c>
      <c r="L193" s="141">
        <v>4532.5877599999994</v>
      </c>
    </row>
    <row r="194" spans="1:12" ht="42">
      <c r="A194" s="136" t="s">
        <v>1917</v>
      </c>
      <c r="B194" s="137" t="s">
        <v>1920</v>
      </c>
      <c r="C194" s="138" t="s">
        <v>1064</v>
      </c>
      <c r="D194" s="138" t="s">
        <v>971</v>
      </c>
      <c r="E194" s="136" t="s">
        <v>1571</v>
      </c>
      <c r="F194" s="419">
        <v>43100</v>
      </c>
      <c r="G194" s="140">
        <v>8661.462739999999</v>
      </c>
      <c r="H194" s="140">
        <v>23</v>
      </c>
      <c r="I194" s="140">
        <v>7.2689699999999995</v>
      </c>
      <c r="J194" s="140">
        <v>16.25103</v>
      </c>
      <c r="K194" s="140">
        <v>1244.52333</v>
      </c>
      <c r="L194" s="140">
        <v>1471.5219500000001</v>
      </c>
    </row>
    <row r="195" spans="1:12" ht="31.5">
      <c r="A195" s="138" t="s">
        <v>1919</v>
      </c>
      <c r="B195" s="135" t="s">
        <v>1922</v>
      </c>
      <c r="C195" s="136" t="s">
        <v>765</v>
      </c>
      <c r="D195" s="136" t="s">
        <v>753</v>
      </c>
      <c r="E195" s="138" t="s">
        <v>1571</v>
      </c>
      <c r="F195" s="420">
        <v>36891</v>
      </c>
      <c r="G195" s="141">
        <v>8417.11</v>
      </c>
      <c r="H195" s="141">
        <v>45</v>
      </c>
      <c r="I195" s="141"/>
      <c r="J195" s="141">
        <v>425.11</v>
      </c>
      <c r="K195" s="141">
        <v>812.9</v>
      </c>
      <c r="L195" s="141">
        <v>1930.13</v>
      </c>
    </row>
    <row r="196" spans="1:12">
      <c r="A196" s="136" t="s">
        <v>1921</v>
      </c>
      <c r="B196" s="137" t="s">
        <v>1924</v>
      </c>
      <c r="C196" s="138" t="s">
        <v>695</v>
      </c>
      <c r="D196" s="138" t="s">
        <v>696</v>
      </c>
      <c r="E196" s="136" t="s">
        <v>1571</v>
      </c>
      <c r="F196" s="419">
        <v>43100</v>
      </c>
      <c r="G196" s="140">
        <v>8296.5376699999997</v>
      </c>
      <c r="H196" s="140">
        <v>58</v>
      </c>
      <c r="I196" s="143" t="s">
        <v>189</v>
      </c>
      <c r="J196" s="140">
        <v>581.6708000000001</v>
      </c>
      <c r="K196" s="140">
        <v>3051.6573499999995</v>
      </c>
      <c r="L196" s="140">
        <v>3729.7264</v>
      </c>
    </row>
    <row r="197" spans="1:12" ht="42">
      <c r="A197" s="138" t="s">
        <v>1923</v>
      </c>
      <c r="B197" s="135" t="s">
        <v>1926</v>
      </c>
      <c r="C197" s="136" t="s">
        <v>920</v>
      </c>
      <c r="D197" s="136" t="s">
        <v>811</v>
      </c>
      <c r="E197" s="138" t="s">
        <v>1571</v>
      </c>
      <c r="F197" s="420">
        <v>37621</v>
      </c>
      <c r="G197" s="141">
        <v>8203.0010000000002</v>
      </c>
      <c r="H197" s="141">
        <v>61</v>
      </c>
      <c r="I197" s="141">
        <v>287.03100000000001</v>
      </c>
      <c r="J197" s="141">
        <v>618.65100000000007</v>
      </c>
      <c r="K197" s="141">
        <v>2115.5889999999999</v>
      </c>
      <c r="L197" s="141">
        <v>3347.9169999999999</v>
      </c>
    </row>
    <row r="198" spans="1:12" ht="21">
      <c r="A198" s="136" t="s">
        <v>1925</v>
      </c>
      <c r="B198" s="137" t="s">
        <v>1928</v>
      </c>
      <c r="C198" s="138" t="s">
        <v>1066</v>
      </c>
      <c r="D198" s="138" t="s">
        <v>971</v>
      </c>
      <c r="E198" s="136" t="s">
        <v>1571</v>
      </c>
      <c r="F198" s="419">
        <v>43100</v>
      </c>
      <c r="G198" s="140">
        <v>8198.7691699999996</v>
      </c>
      <c r="H198" s="140">
        <v>22</v>
      </c>
      <c r="I198" s="140">
        <v>13.545400000000001</v>
      </c>
      <c r="J198" s="140">
        <v>34.77928</v>
      </c>
      <c r="K198" s="140">
        <v>1407.8392100000001</v>
      </c>
      <c r="L198" s="140">
        <v>1540.3503590000003</v>
      </c>
    </row>
    <row r="199" spans="1:12" ht="21">
      <c r="A199" s="138" t="s">
        <v>1927</v>
      </c>
      <c r="B199" s="135" t="s">
        <v>1930</v>
      </c>
      <c r="C199" s="136" t="s">
        <v>674</v>
      </c>
      <c r="D199" s="136" t="s">
        <v>1931</v>
      </c>
      <c r="E199" s="138" t="s">
        <v>1571</v>
      </c>
      <c r="F199" s="420">
        <v>43100</v>
      </c>
      <c r="G199" s="141">
        <v>8095.1790999999994</v>
      </c>
      <c r="H199" s="141">
        <v>33</v>
      </c>
      <c r="I199" s="142" t="s">
        <v>189</v>
      </c>
      <c r="J199" s="141">
        <v>1970.5738100000001</v>
      </c>
      <c r="K199" s="141">
        <v>1515.9959699999999</v>
      </c>
      <c r="L199" s="141">
        <v>3948.7774299999996</v>
      </c>
    </row>
    <row r="200" spans="1:12" ht="42">
      <c r="A200" s="136" t="s">
        <v>1929</v>
      </c>
      <c r="B200" s="137" t="s">
        <v>1933</v>
      </c>
      <c r="C200" s="138" t="s">
        <v>1141</v>
      </c>
      <c r="D200" s="138" t="s">
        <v>1142</v>
      </c>
      <c r="E200" s="136" t="s">
        <v>1571</v>
      </c>
      <c r="F200" s="419">
        <v>43100</v>
      </c>
      <c r="G200" s="140">
        <v>8034.1760000000004</v>
      </c>
      <c r="H200" s="140">
        <v>24</v>
      </c>
      <c r="I200" s="140">
        <v>87.412390000000002</v>
      </c>
      <c r="J200" s="140">
        <v>254.47620000000001</v>
      </c>
      <c r="K200" s="140">
        <v>1280.3167100000001</v>
      </c>
      <c r="L200" s="140">
        <v>1939.2268300000001</v>
      </c>
    </row>
    <row r="201" spans="1:12" ht="42">
      <c r="A201" s="138" t="s">
        <v>1932</v>
      </c>
      <c r="B201" s="135" t="s">
        <v>1935</v>
      </c>
      <c r="C201" s="136" t="s">
        <v>779</v>
      </c>
      <c r="D201" s="136" t="s">
        <v>780</v>
      </c>
      <c r="E201" s="138" t="s">
        <v>1571</v>
      </c>
      <c r="F201" s="420">
        <v>43100</v>
      </c>
      <c r="G201" s="141">
        <v>8023.55728</v>
      </c>
      <c r="H201" s="141">
        <v>40</v>
      </c>
      <c r="I201" s="142" t="s">
        <v>189</v>
      </c>
      <c r="J201" s="141">
        <v>493.70271000000002</v>
      </c>
      <c r="K201" s="141">
        <v>1467.09295</v>
      </c>
      <c r="L201" s="141">
        <v>2226.5489099999995</v>
      </c>
    </row>
    <row r="202" spans="1:12">
      <c r="A202" s="136" t="s">
        <v>1934</v>
      </c>
      <c r="B202" s="137" t="s">
        <v>1937</v>
      </c>
      <c r="C202" s="138" t="s">
        <v>617</v>
      </c>
      <c r="D202" s="138" t="s">
        <v>596</v>
      </c>
      <c r="E202" s="136" t="s">
        <v>1571</v>
      </c>
      <c r="F202" s="419">
        <v>43100</v>
      </c>
      <c r="G202" s="140">
        <v>7813.232</v>
      </c>
      <c r="H202" s="140">
        <v>38</v>
      </c>
      <c r="I202" s="140">
        <v>2.85</v>
      </c>
      <c r="J202" s="140">
        <v>7.4089999999999998</v>
      </c>
      <c r="K202" s="140">
        <v>1532.6610000000001</v>
      </c>
      <c r="L202" s="140">
        <v>1557.6210000000001</v>
      </c>
    </row>
    <row r="203" spans="1:12" ht="21">
      <c r="A203" s="138" t="s">
        <v>1936</v>
      </c>
      <c r="B203" s="135" t="s">
        <v>1939</v>
      </c>
      <c r="C203" s="136" t="s">
        <v>1494</v>
      </c>
      <c r="D203" s="136" t="s">
        <v>1474</v>
      </c>
      <c r="E203" s="138" t="s">
        <v>1571</v>
      </c>
      <c r="F203" s="420">
        <v>43100</v>
      </c>
      <c r="G203" s="141">
        <v>7747.0777000000007</v>
      </c>
      <c r="H203" s="141">
        <v>19</v>
      </c>
      <c r="I203" s="141">
        <v>162.63804999999999</v>
      </c>
      <c r="J203" s="141">
        <v>519.23725000000002</v>
      </c>
      <c r="K203" s="141">
        <v>1132.3220900000001</v>
      </c>
      <c r="L203" s="141">
        <v>1989.2763600000001</v>
      </c>
    </row>
    <row r="204" spans="1:12" ht="21">
      <c r="A204" s="136" t="s">
        <v>1938</v>
      </c>
      <c r="B204" s="137" t="s">
        <v>1941</v>
      </c>
      <c r="C204" s="138" t="s">
        <v>1555</v>
      </c>
      <c r="D204" s="138" t="s">
        <v>1279</v>
      </c>
      <c r="E204" s="136" t="s">
        <v>1571</v>
      </c>
      <c r="F204" s="419">
        <v>43100</v>
      </c>
      <c r="G204" s="140">
        <v>7609.8110000000006</v>
      </c>
      <c r="H204" s="140">
        <v>122</v>
      </c>
      <c r="I204" s="140"/>
      <c r="J204" s="140">
        <v>6.3449999999999998</v>
      </c>
      <c r="K204" s="140">
        <v>4284.7089999999998</v>
      </c>
      <c r="L204" s="140">
        <v>4478.4059999999999</v>
      </c>
    </row>
    <row r="205" spans="1:12" ht="63">
      <c r="A205" s="138" t="s">
        <v>1940</v>
      </c>
      <c r="B205" s="135" t="s">
        <v>1943</v>
      </c>
      <c r="C205" s="136" t="s">
        <v>887</v>
      </c>
      <c r="D205" s="136" t="s">
        <v>811</v>
      </c>
      <c r="E205" s="138" t="s">
        <v>1571</v>
      </c>
      <c r="F205" s="420">
        <v>42794</v>
      </c>
      <c r="G205" s="141">
        <v>7572.0089500000004</v>
      </c>
      <c r="H205" s="141">
        <v>40</v>
      </c>
      <c r="I205" s="141">
        <v>68.733120000000014</v>
      </c>
      <c r="J205" s="141">
        <v>199.16820000000001</v>
      </c>
      <c r="K205" s="141">
        <v>1145.99305</v>
      </c>
      <c r="L205" s="141">
        <v>1528.77</v>
      </c>
    </row>
    <row r="206" spans="1:12">
      <c r="A206" s="136" t="s">
        <v>1942</v>
      </c>
      <c r="B206" s="137" t="s">
        <v>1945</v>
      </c>
      <c r="C206" s="138" t="s">
        <v>1207</v>
      </c>
      <c r="D206" s="138" t="s">
        <v>1208</v>
      </c>
      <c r="E206" s="136" t="s">
        <v>1571</v>
      </c>
      <c r="F206" s="419">
        <v>43100</v>
      </c>
      <c r="G206" s="140">
        <v>7506.30807</v>
      </c>
      <c r="H206" s="140">
        <v>32</v>
      </c>
      <c r="I206" s="140">
        <v>24.086660000000002</v>
      </c>
      <c r="J206" s="140">
        <v>115.4958</v>
      </c>
      <c r="K206" s="140">
        <v>1300.7006999999999</v>
      </c>
      <c r="L206" s="140">
        <v>1524.6308100000001</v>
      </c>
    </row>
    <row r="207" spans="1:12" ht="42">
      <c r="A207" s="138" t="s">
        <v>1944</v>
      </c>
      <c r="B207" s="135" t="s">
        <v>1947</v>
      </c>
      <c r="C207" s="136" t="s">
        <v>1158</v>
      </c>
      <c r="D207" s="136" t="s">
        <v>1156</v>
      </c>
      <c r="E207" s="138" t="s">
        <v>1571</v>
      </c>
      <c r="F207" s="420">
        <v>43100</v>
      </c>
      <c r="G207" s="141">
        <v>7437.2255800000003</v>
      </c>
      <c r="H207" s="141">
        <v>72</v>
      </c>
      <c r="I207" s="142" t="s">
        <v>189</v>
      </c>
      <c r="J207" s="141">
        <v>240.47537999999997</v>
      </c>
      <c r="K207" s="141">
        <v>2739.9998499999997</v>
      </c>
      <c r="L207" s="141">
        <v>3429.1771000000003</v>
      </c>
    </row>
    <row r="208" spans="1:12" ht="52.5">
      <c r="A208" s="136" t="s">
        <v>1946</v>
      </c>
      <c r="B208" s="137" t="s">
        <v>1949</v>
      </c>
      <c r="C208" s="138" t="s">
        <v>883</v>
      </c>
      <c r="D208" s="138" t="s">
        <v>811</v>
      </c>
      <c r="E208" s="136" t="s">
        <v>1571</v>
      </c>
      <c r="F208" s="419">
        <v>43100</v>
      </c>
      <c r="G208" s="140">
        <v>7423.3516099999997</v>
      </c>
      <c r="H208" s="140">
        <v>62</v>
      </c>
      <c r="I208" s="140">
        <v>48.413940000000004</v>
      </c>
      <c r="J208" s="140">
        <v>306.57341000000002</v>
      </c>
      <c r="K208" s="140">
        <v>2279.0070099999998</v>
      </c>
      <c r="L208" s="140">
        <v>2800.1018599999998</v>
      </c>
    </row>
    <row r="209" spans="1:12" ht="21">
      <c r="A209" s="138" t="s">
        <v>1948</v>
      </c>
      <c r="B209" s="135" t="s">
        <v>1951</v>
      </c>
      <c r="C209" s="136" t="s">
        <v>855</v>
      </c>
      <c r="D209" s="136" t="s">
        <v>188</v>
      </c>
      <c r="E209" s="138" t="s">
        <v>1571</v>
      </c>
      <c r="F209" s="420">
        <v>43100</v>
      </c>
      <c r="G209" s="141">
        <v>7402.5176199999996</v>
      </c>
      <c r="H209" s="141">
        <v>28</v>
      </c>
      <c r="I209" s="141">
        <v>111.38813</v>
      </c>
      <c r="J209" s="141">
        <v>624.07746999999995</v>
      </c>
      <c r="K209" s="141">
        <v>919.22387000000003</v>
      </c>
      <c r="L209" s="141">
        <v>1674.2945200000001</v>
      </c>
    </row>
    <row r="210" spans="1:12" ht="31.5">
      <c r="A210" s="136" t="s">
        <v>1950</v>
      </c>
      <c r="B210" s="137" t="s">
        <v>1953</v>
      </c>
      <c r="C210" s="138" t="s">
        <v>1252</v>
      </c>
      <c r="D210" s="138" t="s">
        <v>1251</v>
      </c>
      <c r="E210" s="136" t="s">
        <v>1571</v>
      </c>
      <c r="F210" s="419">
        <v>43100</v>
      </c>
      <c r="G210" s="140">
        <v>7245.4241000000002</v>
      </c>
      <c r="H210" s="140">
        <v>42</v>
      </c>
      <c r="I210" s="140">
        <v>497.14298000000002</v>
      </c>
      <c r="J210" s="140">
        <v>1650.0739099999998</v>
      </c>
      <c r="K210" s="140">
        <v>2336.6769099999997</v>
      </c>
      <c r="L210" s="140">
        <v>4512.8558700000003</v>
      </c>
    </row>
    <row r="211" spans="1:12" ht="21">
      <c r="A211" s="138" t="s">
        <v>1952</v>
      </c>
      <c r="B211" s="135" t="s">
        <v>1955</v>
      </c>
      <c r="C211" s="136" t="s">
        <v>739</v>
      </c>
      <c r="D211" s="136" t="s">
        <v>1788</v>
      </c>
      <c r="E211" s="138" t="s">
        <v>1571</v>
      </c>
      <c r="F211" s="420">
        <v>43100</v>
      </c>
      <c r="G211" s="141">
        <v>7227.0622599999997</v>
      </c>
      <c r="H211" s="141">
        <v>47</v>
      </c>
      <c r="I211" s="141"/>
      <c r="J211" s="141">
        <v>-407.12693999999999</v>
      </c>
      <c r="K211" s="141">
        <v>1752.84148</v>
      </c>
      <c r="L211" s="141">
        <v>2752.8269299999997</v>
      </c>
    </row>
    <row r="212" spans="1:12" ht="31.5">
      <c r="A212" s="136" t="s">
        <v>1954</v>
      </c>
      <c r="B212" s="139" t="s">
        <v>1957</v>
      </c>
      <c r="C212" s="138" t="s">
        <v>1188</v>
      </c>
      <c r="D212" s="138" t="s">
        <v>1184</v>
      </c>
      <c r="E212" s="136" t="s">
        <v>1571</v>
      </c>
      <c r="F212" s="419">
        <v>43100</v>
      </c>
      <c r="G212" s="140">
        <v>7137.1530000000002</v>
      </c>
      <c r="H212" s="140">
        <v>47</v>
      </c>
      <c r="I212" s="140">
        <v>42.079000000000001</v>
      </c>
      <c r="J212" s="140">
        <v>629.90100000000007</v>
      </c>
      <c r="K212" s="140">
        <v>2594.7980000000002</v>
      </c>
      <c r="L212" s="140">
        <v>3591.6660000000002</v>
      </c>
    </row>
    <row r="213" spans="1:12">
      <c r="A213" s="138" t="s">
        <v>1956</v>
      </c>
      <c r="B213" s="135" t="s">
        <v>1959</v>
      </c>
      <c r="C213" s="136" t="s">
        <v>796</v>
      </c>
      <c r="D213" s="136" t="s">
        <v>795</v>
      </c>
      <c r="E213" s="138" t="s">
        <v>1571</v>
      </c>
      <c r="F213" s="420">
        <v>43100</v>
      </c>
      <c r="G213" s="141">
        <v>7131.5694599999997</v>
      </c>
      <c r="H213" s="141">
        <v>46</v>
      </c>
      <c r="I213" s="141">
        <v>56.785199999999996</v>
      </c>
      <c r="J213" s="141">
        <v>384.54755</v>
      </c>
      <c r="K213" s="141">
        <v>1908.86401</v>
      </c>
      <c r="L213" s="141">
        <v>2516.1250299999997</v>
      </c>
    </row>
    <row r="214" spans="1:12" ht="42">
      <c r="A214" s="136" t="s">
        <v>1958</v>
      </c>
      <c r="B214" s="137" t="s">
        <v>1961</v>
      </c>
      <c r="C214" s="138" t="s">
        <v>854</v>
      </c>
      <c r="D214" s="138" t="s">
        <v>811</v>
      </c>
      <c r="E214" s="136" t="s">
        <v>1571</v>
      </c>
      <c r="F214" s="419">
        <v>43100</v>
      </c>
      <c r="G214" s="140">
        <v>7061.40708</v>
      </c>
      <c r="H214" s="140">
        <v>32</v>
      </c>
      <c r="I214" s="140">
        <v>63.812340000000006</v>
      </c>
      <c r="J214" s="140">
        <v>379.53899999999999</v>
      </c>
      <c r="K214" s="140">
        <v>1723.6766200000002</v>
      </c>
      <c r="L214" s="140">
        <v>2306.4068789999997</v>
      </c>
    </row>
    <row r="215" spans="1:12">
      <c r="A215" s="138" t="s">
        <v>1960</v>
      </c>
      <c r="B215" s="135" t="s">
        <v>1963</v>
      </c>
      <c r="C215" s="136" t="s">
        <v>671</v>
      </c>
      <c r="D215" s="136" t="s">
        <v>668</v>
      </c>
      <c r="E215" s="138" t="s">
        <v>1571</v>
      </c>
      <c r="F215" s="420">
        <v>43100</v>
      </c>
      <c r="G215" s="141">
        <v>7053.8671899999999</v>
      </c>
      <c r="H215" s="141">
        <v>210</v>
      </c>
      <c r="I215" s="141">
        <v>48.304440000000007</v>
      </c>
      <c r="J215" s="141">
        <v>294.84530000000001</v>
      </c>
      <c r="K215" s="141">
        <v>5201.2506299999995</v>
      </c>
      <c r="L215" s="141">
        <v>5600.0407999999998</v>
      </c>
    </row>
    <row r="216" spans="1:12">
      <c r="A216" s="136" t="s">
        <v>1962</v>
      </c>
      <c r="B216" s="137" t="s">
        <v>1965</v>
      </c>
      <c r="C216" s="138" t="s">
        <v>613</v>
      </c>
      <c r="D216" s="138" t="s">
        <v>596</v>
      </c>
      <c r="E216" s="136" t="s">
        <v>1571</v>
      </c>
      <c r="F216" s="419">
        <v>43100</v>
      </c>
      <c r="G216" s="140">
        <v>7053.3770000000004</v>
      </c>
      <c r="H216" s="140">
        <v>57</v>
      </c>
      <c r="I216" s="143" t="s">
        <v>189</v>
      </c>
      <c r="J216" s="140">
        <v>-480.12400000000002</v>
      </c>
      <c r="K216" s="140">
        <v>2118.788</v>
      </c>
      <c r="L216" s="140">
        <v>2229.37</v>
      </c>
    </row>
    <row r="217" spans="1:12" ht="21">
      <c r="A217" s="138" t="s">
        <v>1964</v>
      </c>
      <c r="B217" s="135" t="s">
        <v>1967</v>
      </c>
      <c r="C217" s="136" t="s">
        <v>767</v>
      </c>
      <c r="D217" s="136" t="s">
        <v>753</v>
      </c>
      <c r="E217" s="138" t="s">
        <v>1571</v>
      </c>
      <c r="F217" s="420">
        <v>42735</v>
      </c>
      <c r="G217" s="141">
        <v>6905.2519199999997</v>
      </c>
      <c r="H217" s="141">
        <v>53</v>
      </c>
      <c r="I217" s="141">
        <v>12.277349999999998</v>
      </c>
      <c r="J217" s="141">
        <v>242.84819000000002</v>
      </c>
      <c r="K217" s="141">
        <v>2278.1620699999999</v>
      </c>
      <c r="L217" s="141">
        <v>2927.6303199999998</v>
      </c>
    </row>
    <row r="218" spans="1:12" ht="42">
      <c r="A218" s="136" t="s">
        <v>1966</v>
      </c>
      <c r="B218" s="137" t="s">
        <v>1969</v>
      </c>
      <c r="C218" s="138" t="s">
        <v>900</v>
      </c>
      <c r="D218" s="138" t="s">
        <v>811</v>
      </c>
      <c r="E218" s="136" t="s">
        <v>1571</v>
      </c>
      <c r="F218" s="419">
        <v>43100</v>
      </c>
      <c r="G218" s="140">
        <v>6793.4019400000006</v>
      </c>
      <c r="H218" s="140">
        <v>32</v>
      </c>
      <c r="I218" s="140">
        <v>197.39265</v>
      </c>
      <c r="J218" s="140">
        <v>863.20610999999997</v>
      </c>
      <c r="K218" s="140">
        <v>1809.0687399999999</v>
      </c>
      <c r="L218" s="140">
        <v>2989.9828699999998</v>
      </c>
    </row>
    <row r="219" spans="1:12" ht="21">
      <c r="A219" s="138" t="s">
        <v>1968</v>
      </c>
      <c r="B219" s="135" t="s">
        <v>1971</v>
      </c>
      <c r="C219" s="136" t="s">
        <v>635</v>
      </c>
      <c r="D219" s="136" t="s">
        <v>1972</v>
      </c>
      <c r="E219" s="138" t="s">
        <v>1571</v>
      </c>
      <c r="F219" s="420">
        <v>43100</v>
      </c>
      <c r="G219" s="141">
        <v>6669</v>
      </c>
      <c r="H219" s="141">
        <v>20</v>
      </c>
      <c r="I219" s="142" t="s">
        <v>189</v>
      </c>
      <c r="J219" s="141">
        <v>-1323</v>
      </c>
      <c r="K219" s="141">
        <v>1388</v>
      </c>
      <c r="L219" s="141">
        <v>2336</v>
      </c>
    </row>
    <row r="220" spans="1:12" ht="31.5">
      <c r="A220" s="136" t="s">
        <v>1970</v>
      </c>
      <c r="B220" s="137" t="s">
        <v>1974</v>
      </c>
      <c r="C220" s="138" t="s">
        <v>1062</v>
      </c>
      <c r="D220" s="138" t="s">
        <v>971</v>
      </c>
      <c r="E220" s="136" t="s">
        <v>1571</v>
      </c>
      <c r="F220" s="419">
        <v>43100</v>
      </c>
      <c r="G220" s="140">
        <v>6667.5947900000001</v>
      </c>
      <c r="H220" s="140">
        <v>57</v>
      </c>
      <c r="I220" s="140">
        <v>128.51203999999998</v>
      </c>
      <c r="J220" s="140">
        <v>335.52159999999998</v>
      </c>
      <c r="K220" s="140">
        <v>2680.9881700000001</v>
      </c>
      <c r="L220" s="140">
        <v>3311.1158089999999</v>
      </c>
    </row>
    <row r="221" spans="1:12" ht="31.5">
      <c r="A221" s="138" t="s">
        <v>1973</v>
      </c>
      <c r="B221" s="135" t="s">
        <v>1976</v>
      </c>
      <c r="C221" s="136" t="s">
        <v>715</v>
      </c>
      <c r="D221" s="136" t="s">
        <v>716</v>
      </c>
      <c r="E221" s="138" t="s">
        <v>1571</v>
      </c>
      <c r="F221" s="420">
        <v>43100</v>
      </c>
      <c r="G221" s="141">
        <v>6599.7617500000006</v>
      </c>
      <c r="H221" s="141">
        <v>26</v>
      </c>
      <c r="I221" s="141">
        <v>45.596510000000002</v>
      </c>
      <c r="J221" s="141">
        <v>141.50479999999999</v>
      </c>
      <c r="K221" s="141">
        <v>1384.76694</v>
      </c>
      <c r="L221" s="141">
        <v>1579.10725</v>
      </c>
    </row>
    <row r="222" spans="1:12" ht="31.5">
      <c r="A222" s="136" t="s">
        <v>1975</v>
      </c>
      <c r="B222" s="137" t="s">
        <v>1978</v>
      </c>
      <c r="C222" s="138" t="s">
        <v>1088</v>
      </c>
      <c r="D222" s="138" t="s">
        <v>969</v>
      </c>
      <c r="E222" s="136" t="s">
        <v>1571</v>
      </c>
      <c r="F222" s="419">
        <v>43100</v>
      </c>
      <c r="G222" s="140">
        <v>6534.3530000000001</v>
      </c>
      <c r="H222" s="140">
        <v>49</v>
      </c>
      <c r="I222" s="143" t="s">
        <v>189</v>
      </c>
      <c r="J222" s="140">
        <v>228.54599999999999</v>
      </c>
      <c r="K222" s="140">
        <v>2712.5309999999999</v>
      </c>
      <c r="L222" s="140">
        <v>3006.0729999999999</v>
      </c>
    </row>
    <row r="223" spans="1:12">
      <c r="A223" s="138" t="s">
        <v>1977</v>
      </c>
      <c r="B223" s="135" t="s">
        <v>1980</v>
      </c>
      <c r="C223" s="136" t="s">
        <v>687</v>
      </c>
      <c r="D223" s="136" t="s">
        <v>686</v>
      </c>
      <c r="E223" s="138" t="s">
        <v>1571</v>
      </c>
      <c r="F223" s="420">
        <v>43100</v>
      </c>
      <c r="G223" s="141">
        <v>6486.1329999999998</v>
      </c>
      <c r="H223" s="141">
        <v>18</v>
      </c>
      <c r="I223" s="141">
        <v>243.595</v>
      </c>
      <c r="J223" s="141">
        <v>783.63099999999997</v>
      </c>
      <c r="K223" s="141">
        <v>938.85800000000006</v>
      </c>
      <c r="L223" s="141">
        <v>2211.9810000000002</v>
      </c>
    </row>
    <row r="224" spans="1:12" ht="31.5">
      <c r="A224" s="136" t="s">
        <v>1979</v>
      </c>
      <c r="B224" s="137" t="s">
        <v>1982</v>
      </c>
      <c r="C224" s="138" t="s">
        <v>1194</v>
      </c>
      <c r="D224" s="138" t="s">
        <v>1190</v>
      </c>
      <c r="E224" s="136" t="s">
        <v>1571</v>
      </c>
      <c r="F224" s="419">
        <v>43100</v>
      </c>
      <c r="G224" s="140">
        <v>6443.7390000000005</v>
      </c>
      <c r="H224" s="140">
        <v>38</v>
      </c>
      <c r="I224" s="140"/>
      <c r="J224" s="140">
        <v>63.418500000000002</v>
      </c>
      <c r="K224" s="140">
        <v>1307.886</v>
      </c>
      <c r="L224" s="140">
        <v>1720.29</v>
      </c>
    </row>
    <row r="225" spans="1:12" ht="31.5">
      <c r="A225" s="138" t="s">
        <v>1981</v>
      </c>
      <c r="B225" s="135" t="s">
        <v>1984</v>
      </c>
      <c r="C225" s="136" t="s">
        <v>676</v>
      </c>
      <c r="D225" s="136" t="s">
        <v>673</v>
      </c>
      <c r="E225" s="138" t="s">
        <v>1571</v>
      </c>
      <c r="F225" s="420">
        <v>43100</v>
      </c>
      <c r="G225" s="141">
        <v>6382.9557400000003</v>
      </c>
      <c r="H225" s="141">
        <v>40</v>
      </c>
      <c r="I225" s="141">
        <v>292.96186999999998</v>
      </c>
      <c r="J225" s="141">
        <v>1053.40951</v>
      </c>
      <c r="K225" s="141">
        <v>2363.10484</v>
      </c>
      <c r="L225" s="141">
        <v>4202.9293299999999</v>
      </c>
    </row>
    <row r="226" spans="1:12" ht="21">
      <c r="A226" s="136" t="s">
        <v>1983</v>
      </c>
      <c r="B226" s="137" t="s">
        <v>1986</v>
      </c>
      <c r="C226" s="138" t="s">
        <v>690</v>
      </c>
      <c r="D226" s="138" t="s">
        <v>689</v>
      </c>
      <c r="E226" s="136" t="s">
        <v>1571</v>
      </c>
      <c r="F226" s="419">
        <v>43100</v>
      </c>
      <c r="G226" s="140">
        <v>6314.4570789999998</v>
      </c>
      <c r="H226" s="140">
        <v>16</v>
      </c>
      <c r="I226" s="140">
        <v>183.87926000000002</v>
      </c>
      <c r="J226" s="140">
        <v>565.54759999999999</v>
      </c>
      <c r="K226" s="140">
        <v>804.7216699999999</v>
      </c>
      <c r="L226" s="140">
        <v>1615.4376999999999</v>
      </c>
    </row>
    <row r="227" spans="1:12">
      <c r="A227" s="138" t="s">
        <v>1985</v>
      </c>
      <c r="B227" s="135" t="s">
        <v>1988</v>
      </c>
      <c r="C227" s="136" t="s">
        <v>1095</v>
      </c>
      <c r="D227" s="136" t="s">
        <v>1448</v>
      </c>
      <c r="E227" s="138" t="s">
        <v>1571</v>
      </c>
      <c r="F227" s="420">
        <v>43100</v>
      </c>
      <c r="G227" s="141">
        <v>6311.3045300000003</v>
      </c>
      <c r="H227" s="141">
        <v>39</v>
      </c>
      <c r="I227" s="141">
        <v>13.695130000000001</v>
      </c>
      <c r="J227" s="141">
        <v>341.85520000000002</v>
      </c>
      <c r="K227" s="141">
        <v>1623.2451400000002</v>
      </c>
      <c r="L227" s="141">
        <v>2365.231679</v>
      </c>
    </row>
    <row r="228" spans="1:12" ht="31.5">
      <c r="A228" s="136" t="s">
        <v>1987</v>
      </c>
      <c r="B228" s="137" t="s">
        <v>1990</v>
      </c>
      <c r="C228" s="138" t="s">
        <v>1294</v>
      </c>
      <c r="D228" s="138" t="s">
        <v>1266</v>
      </c>
      <c r="E228" s="136" t="s">
        <v>1571</v>
      </c>
      <c r="F228" s="419">
        <v>43100</v>
      </c>
      <c r="G228" s="140">
        <v>6279.6792100000002</v>
      </c>
      <c r="H228" s="143" t="s">
        <v>189</v>
      </c>
      <c r="I228" s="140">
        <v>33.754840000000002</v>
      </c>
      <c r="J228" s="140">
        <v>208.29649000000001</v>
      </c>
      <c r="K228" s="140">
        <v>1124.55575</v>
      </c>
      <c r="L228" s="140">
        <v>1656.4270100000001</v>
      </c>
    </row>
    <row r="229" spans="1:12" ht="42">
      <c r="A229" s="138" t="s">
        <v>1989</v>
      </c>
      <c r="B229" s="135" t="s">
        <v>1992</v>
      </c>
      <c r="C229" s="136" t="s">
        <v>1108</v>
      </c>
      <c r="D229" s="136" t="s">
        <v>969</v>
      </c>
      <c r="E229" s="138" t="s">
        <v>1571</v>
      </c>
      <c r="F229" s="420">
        <v>43100</v>
      </c>
      <c r="G229" s="141">
        <v>6139.2171499999995</v>
      </c>
      <c r="H229" s="141">
        <v>19</v>
      </c>
      <c r="I229" s="141">
        <v>12.020520000000001</v>
      </c>
      <c r="J229" s="141">
        <v>38.064980000000006</v>
      </c>
      <c r="K229" s="141">
        <v>626.58994000000007</v>
      </c>
      <c r="L229" s="141">
        <v>762.45666900000003</v>
      </c>
    </row>
    <row r="230" spans="1:12" ht="42">
      <c r="A230" s="136" t="s">
        <v>1991</v>
      </c>
      <c r="B230" s="137" t="s">
        <v>1994</v>
      </c>
      <c r="C230" s="138" t="s">
        <v>717</v>
      </c>
      <c r="D230" s="138" t="s">
        <v>716</v>
      </c>
      <c r="E230" s="136" t="s">
        <v>1571</v>
      </c>
      <c r="F230" s="419">
        <v>43100</v>
      </c>
      <c r="G230" s="140">
        <v>6083.6279999999997</v>
      </c>
      <c r="H230" s="140">
        <v>40</v>
      </c>
      <c r="I230" s="140"/>
      <c r="J230" s="140">
        <v>-1845.43</v>
      </c>
      <c r="K230" s="140">
        <v>2219.7910000000002</v>
      </c>
      <c r="L230" s="140">
        <v>666.94500000000005</v>
      </c>
    </row>
    <row r="231" spans="1:12" ht="21">
      <c r="A231" s="138" t="s">
        <v>1993</v>
      </c>
      <c r="B231" s="135" t="s">
        <v>1996</v>
      </c>
      <c r="C231" s="136" t="s">
        <v>1463</v>
      </c>
      <c r="D231" s="136" t="s">
        <v>1461</v>
      </c>
      <c r="E231" s="138" t="s">
        <v>1571</v>
      </c>
      <c r="F231" s="420">
        <v>43100</v>
      </c>
      <c r="G231" s="141">
        <v>5912.207159999999</v>
      </c>
      <c r="H231" s="141">
        <v>34</v>
      </c>
      <c r="I231" s="141"/>
      <c r="J231" s="141">
        <v>112.46472</v>
      </c>
      <c r="K231" s="141">
        <v>1703.8088500000001</v>
      </c>
      <c r="L231" s="141">
        <v>1710.0697400000001</v>
      </c>
    </row>
    <row r="232" spans="1:12" ht="31.5">
      <c r="A232" s="136" t="s">
        <v>1995</v>
      </c>
      <c r="B232" s="137" t="s">
        <v>1998</v>
      </c>
      <c r="C232" s="138" t="s">
        <v>866</v>
      </c>
      <c r="D232" s="138" t="s">
        <v>811</v>
      </c>
      <c r="E232" s="136" t="s">
        <v>1571</v>
      </c>
      <c r="F232" s="419">
        <v>43100</v>
      </c>
      <c r="G232" s="140">
        <v>5909.7893899999999</v>
      </c>
      <c r="H232" s="140">
        <v>30</v>
      </c>
      <c r="I232" s="143" t="s">
        <v>189</v>
      </c>
      <c r="J232" s="140">
        <v>-3.8253700000000004</v>
      </c>
      <c r="K232" s="140">
        <v>1201.7048300000001</v>
      </c>
      <c r="L232" s="140">
        <v>1272.3294900000001</v>
      </c>
    </row>
    <row r="233" spans="1:12" ht="21">
      <c r="A233" s="138" t="s">
        <v>1997</v>
      </c>
      <c r="B233" s="135" t="s">
        <v>2000</v>
      </c>
      <c r="C233" s="136" t="s">
        <v>1187</v>
      </c>
      <c r="D233" s="136" t="s">
        <v>1184</v>
      </c>
      <c r="E233" s="138" t="s">
        <v>1571</v>
      </c>
      <c r="F233" s="420">
        <v>43100</v>
      </c>
      <c r="G233" s="141">
        <v>5908.7033899999997</v>
      </c>
      <c r="H233" s="141">
        <v>20</v>
      </c>
      <c r="I233" s="141">
        <v>347.54073000000005</v>
      </c>
      <c r="J233" s="141">
        <v>989.97746000000006</v>
      </c>
      <c r="K233" s="141">
        <v>1435.71558</v>
      </c>
      <c r="L233" s="141">
        <v>2788.8746800000004</v>
      </c>
    </row>
    <row r="234" spans="1:12" ht="42">
      <c r="A234" s="136" t="s">
        <v>1999</v>
      </c>
      <c r="B234" s="137" t="s">
        <v>2002</v>
      </c>
      <c r="C234" s="138" t="s">
        <v>1497</v>
      </c>
      <c r="D234" s="138" t="s">
        <v>1474</v>
      </c>
      <c r="E234" s="136" t="s">
        <v>1571</v>
      </c>
      <c r="F234" s="419">
        <v>43100</v>
      </c>
      <c r="G234" s="140">
        <v>5895.6850300000006</v>
      </c>
      <c r="H234" s="140">
        <v>32</v>
      </c>
      <c r="I234" s="140">
        <v>47.503480000000003</v>
      </c>
      <c r="J234" s="140">
        <v>188.05431999999999</v>
      </c>
      <c r="K234" s="140">
        <v>1385.0116900000003</v>
      </c>
      <c r="L234" s="140">
        <v>1652.9723800000002</v>
      </c>
    </row>
    <row r="235" spans="1:12">
      <c r="A235" s="138" t="s">
        <v>2001</v>
      </c>
      <c r="B235" s="135" t="s">
        <v>2004</v>
      </c>
      <c r="C235" s="136" t="s">
        <v>727</v>
      </c>
      <c r="D235" s="136" t="s">
        <v>726</v>
      </c>
      <c r="E235" s="138" t="s">
        <v>1571</v>
      </c>
      <c r="F235" s="420">
        <v>43100</v>
      </c>
      <c r="G235" s="141">
        <v>5891.1213799999996</v>
      </c>
      <c r="H235" s="142" t="s">
        <v>189</v>
      </c>
      <c r="I235" s="141">
        <v>116.64069000000001</v>
      </c>
      <c r="J235" s="141">
        <v>298.13177000000002</v>
      </c>
      <c r="K235" s="141">
        <v>3106.4962600000003</v>
      </c>
      <c r="L235" s="141">
        <v>3674.6214989999999</v>
      </c>
    </row>
    <row r="236" spans="1:12">
      <c r="A236" s="136" t="s">
        <v>2003</v>
      </c>
      <c r="B236" s="137" t="s">
        <v>2006</v>
      </c>
      <c r="C236" s="138" t="s">
        <v>967</v>
      </c>
      <c r="D236" s="138" t="s">
        <v>811</v>
      </c>
      <c r="E236" s="136" t="s">
        <v>1571</v>
      </c>
      <c r="F236" s="419">
        <v>43100</v>
      </c>
      <c r="G236" s="140">
        <v>5887.7695400000002</v>
      </c>
      <c r="H236" s="140">
        <v>16</v>
      </c>
      <c r="I236" s="140">
        <v>139.11314000000002</v>
      </c>
      <c r="J236" s="140">
        <v>440.52495000000005</v>
      </c>
      <c r="K236" s="140">
        <v>1024.0085100000001</v>
      </c>
      <c r="L236" s="140">
        <v>1671.7918500000001</v>
      </c>
    </row>
    <row r="237" spans="1:12" ht="31.5">
      <c r="A237" s="138" t="s">
        <v>2005</v>
      </c>
      <c r="B237" s="135" t="s">
        <v>2008</v>
      </c>
      <c r="C237" s="136" t="s">
        <v>898</v>
      </c>
      <c r="D237" s="136" t="s">
        <v>811</v>
      </c>
      <c r="E237" s="138" t="s">
        <v>1571</v>
      </c>
      <c r="F237" s="420">
        <v>43100</v>
      </c>
      <c r="G237" s="141">
        <v>5841.0835099999995</v>
      </c>
      <c r="H237" s="141">
        <v>34</v>
      </c>
      <c r="I237" s="141">
        <v>135.81564000000003</v>
      </c>
      <c r="J237" s="141">
        <v>444.49799999999999</v>
      </c>
      <c r="K237" s="141">
        <v>1263.1958999999999</v>
      </c>
      <c r="L237" s="141">
        <v>1887.7480700000001</v>
      </c>
    </row>
    <row r="238" spans="1:12" ht="42">
      <c r="A238" s="136" t="s">
        <v>2007</v>
      </c>
      <c r="B238" s="137" t="s">
        <v>2010</v>
      </c>
      <c r="C238" s="138" t="s">
        <v>1380</v>
      </c>
      <c r="D238" s="138" t="s">
        <v>1564</v>
      </c>
      <c r="E238" s="136" t="s">
        <v>1571</v>
      </c>
      <c r="F238" s="419">
        <v>43100</v>
      </c>
      <c r="G238" s="140">
        <v>5787.3316599999989</v>
      </c>
      <c r="H238" s="140">
        <v>27</v>
      </c>
      <c r="I238" s="140">
        <v>12.706250000000001</v>
      </c>
      <c r="J238" s="140">
        <v>67.325229999999991</v>
      </c>
      <c r="K238" s="140">
        <v>793.43263000000002</v>
      </c>
      <c r="L238" s="140">
        <v>918.44602000000009</v>
      </c>
    </row>
    <row r="239" spans="1:12" ht="21">
      <c r="A239" s="138" t="s">
        <v>2009</v>
      </c>
      <c r="B239" s="421" t="s">
        <v>2012</v>
      </c>
      <c r="C239" s="136" t="s">
        <v>790</v>
      </c>
      <c r="D239" s="136" t="s">
        <v>789</v>
      </c>
      <c r="E239" s="138" t="s">
        <v>1571</v>
      </c>
      <c r="F239" s="420">
        <v>43100</v>
      </c>
      <c r="G239" s="141">
        <v>5770.1357700000008</v>
      </c>
      <c r="H239" s="141">
        <v>49</v>
      </c>
      <c r="I239" s="141">
        <v>29.314960000000003</v>
      </c>
      <c r="J239" s="141">
        <v>62.303159999999998</v>
      </c>
      <c r="K239" s="141">
        <v>1807.9873200000002</v>
      </c>
      <c r="L239" s="141">
        <v>2093.13357</v>
      </c>
    </row>
    <row r="240" spans="1:12" ht="21">
      <c r="A240" s="136" t="s">
        <v>2011</v>
      </c>
      <c r="B240" s="137" t="s">
        <v>2014</v>
      </c>
      <c r="C240" s="138" t="s">
        <v>707</v>
      </c>
      <c r="D240" s="138" t="s">
        <v>705</v>
      </c>
      <c r="E240" s="136" t="s">
        <v>1571</v>
      </c>
      <c r="F240" s="419">
        <v>42369</v>
      </c>
      <c r="G240" s="140">
        <v>5715.2150000000001</v>
      </c>
      <c r="H240" s="140">
        <v>19</v>
      </c>
      <c r="I240" s="140">
        <v>6.4990000000000006</v>
      </c>
      <c r="J240" s="140">
        <v>10.999000000000001</v>
      </c>
      <c r="K240" s="140">
        <v>613.29300000000001</v>
      </c>
      <c r="L240" s="140">
        <v>760.12400000000002</v>
      </c>
    </row>
    <row r="241" spans="1:12" ht="42">
      <c r="A241" s="138" t="s">
        <v>2013</v>
      </c>
      <c r="B241" s="135" t="s">
        <v>2016</v>
      </c>
      <c r="C241" s="136" t="s">
        <v>826</v>
      </c>
      <c r="D241" s="136" t="s">
        <v>811</v>
      </c>
      <c r="E241" s="138" t="s">
        <v>1571</v>
      </c>
      <c r="F241" s="420">
        <v>42369</v>
      </c>
      <c r="G241" s="141">
        <v>5696.4809599999999</v>
      </c>
      <c r="H241" s="141">
        <v>11</v>
      </c>
      <c r="I241" s="141">
        <v>86.552630000000008</v>
      </c>
      <c r="J241" s="141">
        <v>362.67444</v>
      </c>
      <c r="K241" s="141">
        <v>611.18235000000016</v>
      </c>
      <c r="L241" s="141">
        <v>1126.4952790000002</v>
      </c>
    </row>
    <row r="242" spans="1:12" ht="21">
      <c r="A242" s="136" t="s">
        <v>2015</v>
      </c>
      <c r="B242" s="139" t="s">
        <v>2018</v>
      </c>
      <c r="C242" s="138" t="s">
        <v>786</v>
      </c>
      <c r="D242" s="138" t="s">
        <v>785</v>
      </c>
      <c r="E242" s="136" t="s">
        <v>1571</v>
      </c>
      <c r="F242" s="419">
        <v>43100</v>
      </c>
      <c r="G242" s="140">
        <v>5684.3279390000007</v>
      </c>
      <c r="H242" s="140">
        <v>54</v>
      </c>
      <c r="I242" s="140">
        <v>74.059759999999997</v>
      </c>
      <c r="J242" s="140">
        <v>230.16269</v>
      </c>
      <c r="K242" s="140">
        <v>1553.0065400000001</v>
      </c>
      <c r="L242" s="140">
        <v>2064.4476900000004</v>
      </c>
    </row>
    <row r="243" spans="1:12" ht="52.5">
      <c r="A243" s="138" t="s">
        <v>2017</v>
      </c>
      <c r="B243" s="421" t="s">
        <v>2020</v>
      </c>
      <c r="C243" s="136" t="s">
        <v>1220</v>
      </c>
      <c r="D243" s="136" t="s">
        <v>1221</v>
      </c>
      <c r="E243" s="138" t="s">
        <v>1571</v>
      </c>
      <c r="F243" s="420">
        <v>42369</v>
      </c>
      <c r="G243" s="141">
        <v>5682.5512600000002</v>
      </c>
      <c r="H243" s="141">
        <v>40</v>
      </c>
      <c r="I243" s="141">
        <v>75.62127000000001</v>
      </c>
      <c r="J243" s="141">
        <v>421.16358000000002</v>
      </c>
      <c r="K243" s="141">
        <v>1598.5902100000001</v>
      </c>
      <c r="L243" s="141">
        <v>2269.4758699999998</v>
      </c>
    </row>
    <row r="244" spans="1:12" ht="21">
      <c r="A244" s="136" t="s">
        <v>2019</v>
      </c>
      <c r="B244" s="137" t="s">
        <v>2022</v>
      </c>
      <c r="C244" s="138" t="s">
        <v>1100</v>
      </c>
      <c r="D244" s="138" t="s">
        <v>969</v>
      </c>
      <c r="E244" s="136" t="s">
        <v>1571</v>
      </c>
      <c r="F244" s="419">
        <v>42369</v>
      </c>
      <c r="G244" s="140">
        <v>5660.2150000000001</v>
      </c>
      <c r="H244" s="140">
        <v>37</v>
      </c>
      <c r="I244" s="140"/>
      <c r="J244" s="140">
        <v>-4.0289999999999999</v>
      </c>
      <c r="K244" s="140">
        <v>1768.211</v>
      </c>
      <c r="L244" s="140">
        <v>1877.2250000000001</v>
      </c>
    </row>
    <row r="245" spans="1:12" ht="21">
      <c r="A245" s="138" t="s">
        <v>2021</v>
      </c>
      <c r="B245" s="135" t="s">
        <v>2024</v>
      </c>
      <c r="C245" s="136" t="s">
        <v>1026</v>
      </c>
      <c r="D245" s="136" t="s">
        <v>1027</v>
      </c>
      <c r="E245" s="138" t="s">
        <v>1571</v>
      </c>
      <c r="F245" s="420">
        <v>43100</v>
      </c>
      <c r="G245" s="141">
        <v>5651.7138099999993</v>
      </c>
      <c r="H245" s="141">
        <v>42</v>
      </c>
      <c r="I245" s="141"/>
      <c r="J245" s="141">
        <v>299.40549000000004</v>
      </c>
      <c r="K245" s="141">
        <v>1634.2840900000001</v>
      </c>
      <c r="L245" s="141">
        <v>2033.07746</v>
      </c>
    </row>
    <row r="246" spans="1:12" ht="21">
      <c r="A246" s="136" t="s">
        <v>2023</v>
      </c>
      <c r="B246" s="137" t="s">
        <v>2026</v>
      </c>
      <c r="C246" s="138" t="s">
        <v>664</v>
      </c>
      <c r="D246" s="138" t="s">
        <v>1595</v>
      </c>
      <c r="E246" s="136" t="s">
        <v>1571</v>
      </c>
      <c r="F246" s="419">
        <v>43100</v>
      </c>
      <c r="G246" s="140">
        <v>5622.0902500000002</v>
      </c>
      <c r="H246" s="140">
        <v>27</v>
      </c>
      <c r="I246" s="140">
        <v>30.749169999999999</v>
      </c>
      <c r="J246" s="140">
        <v>142.46457000000001</v>
      </c>
      <c r="K246" s="140">
        <v>1109.8678500000001</v>
      </c>
      <c r="L246" s="140">
        <v>1493.6535900000001</v>
      </c>
    </row>
    <row r="247" spans="1:12" ht="42">
      <c r="A247" s="138" t="s">
        <v>2025</v>
      </c>
      <c r="B247" s="135" t="s">
        <v>2028</v>
      </c>
      <c r="C247" s="136" t="s">
        <v>1217</v>
      </c>
      <c r="D247" s="136" t="s">
        <v>1215</v>
      </c>
      <c r="E247" s="138" t="s">
        <v>1571</v>
      </c>
      <c r="F247" s="420">
        <v>43100</v>
      </c>
      <c r="G247" s="141">
        <v>5618.7414800000006</v>
      </c>
      <c r="H247" s="141">
        <v>7</v>
      </c>
      <c r="I247" s="141">
        <v>40.645480000000006</v>
      </c>
      <c r="J247" s="141">
        <v>102.22413</v>
      </c>
      <c r="K247" s="141">
        <v>354.33839</v>
      </c>
      <c r="L247" s="141">
        <v>503.65480000000002</v>
      </c>
    </row>
    <row r="248" spans="1:12" ht="21">
      <c r="A248" s="136" t="s">
        <v>2027</v>
      </c>
      <c r="B248" s="137" t="s">
        <v>2030</v>
      </c>
      <c r="C248" s="138" t="s">
        <v>1525</v>
      </c>
      <c r="D248" s="138" t="s">
        <v>1625</v>
      </c>
      <c r="E248" s="136" t="s">
        <v>1571</v>
      </c>
      <c r="F248" s="419">
        <v>43100</v>
      </c>
      <c r="G248" s="140">
        <v>5595.4816300000002</v>
      </c>
      <c r="H248" s="140">
        <v>31</v>
      </c>
      <c r="I248" s="140"/>
      <c r="J248" s="140">
        <v>21.206080000000004</v>
      </c>
      <c r="K248" s="140">
        <v>1087.33421</v>
      </c>
      <c r="L248" s="140">
        <v>1308.2168800000002</v>
      </c>
    </row>
    <row r="249" spans="1:12" ht="21">
      <c r="A249" s="138" t="s">
        <v>2029</v>
      </c>
      <c r="B249" s="421" t="s">
        <v>2032</v>
      </c>
      <c r="C249" s="136" t="s">
        <v>661</v>
      </c>
      <c r="D249" s="136" t="s">
        <v>1622</v>
      </c>
      <c r="E249" s="138" t="s">
        <v>1571</v>
      </c>
      <c r="F249" s="420">
        <v>42916</v>
      </c>
      <c r="G249" s="141">
        <v>5508.1646489999994</v>
      </c>
      <c r="H249" s="141">
        <v>49</v>
      </c>
      <c r="I249" s="141">
        <v>156.49126000000001</v>
      </c>
      <c r="J249" s="141">
        <v>537.6788600000001</v>
      </c>
      <c r="K249" s="141">
        <v>3445.0182500000001</v>
      </c>
      <c r="L249" s="141">
        <v>4369.5816800000002</v>
      </c>
    </row>
    <row r="250" spans="1:12" ht="31.5">
      <c r="A250" s="136" t="s">
        <v>2031</v>
      </c>
      <c r="B250" s="137" t="s">
        <v>2034</v>
      </c>
      <c r="C250" s="138" t="s">
        <v>1536</v>
      </c>
      <c r="D250" s="138" t="s">
        <v>1279</v>
      </c>
      <c r="E250" s="136" t="s">
        <v>1571</v>
      </c>
      <c r="F250" s="419">
        <v>42735</v>
      </c>
      <c r="G250" s="140">
        <v>5491.558970000001</v>
      </c>
      <c r="H250" s="140">
        <v>59</v>
      </c>
      <c r="I250" s="140"/>
      <c r="J250" s="140">
        <v>99.048670000000016</v>
      </c>
      <c r="K250" s="140">
        <v>1553.9377099999999</v>
      </c>
      <c r="L250" s="140">
        <v>1968.2745090000001</v>
      </c>
    </row>
    <row r="251" spans="1:12" ht="21">
      <c r="A251" s="138" t="s">
        <v>2033</v>
      </c>
      <c r="B251" s="135" t="s">
        <v>2036</v>
      </c>
      <c r="C251" s="136" t="s">
        <v>1496</v>
      </c>
      <c r="D251" s="136" t="s">
        <v>1474</v>
      </c>
      <c r="E251" s="138" t="s">
        <v>1571</v>
      </c>
      <c r="F251" s="420">
        <v>43100</v>
      </c>
      <c r="G251" s="141">
        <v>5447.1387100000002</v>
      </c>
      <c r="H251" s="141">
        <v>47</v>
      </c>
      <c r="I251" s="141">
        <v>25.727229999999999</v>
      </c>
      <c r="J251" s="141">
        <v>190.02207000000001</v>
      </c>
      <c r="K251" s="141">
        <v>1887.1669199999999</v>
      </c>
      <c r="L251" s="141">
        <v>2527.8981490000001</v>
      </c>
    </row>
    <row r="252" spans="1:12" ht="31.5">
      <c r="A252" s="136" t="s">
        <v>2035</v>
      </c>
      <c r="B252" s="137" t="s">
        <v>2038</v>
      </c>
      <c r="C252" s="138" t="s">
        <v>663</v>
      </c>
      <c r="D252" s="138" t="s">
        <v>1595</v>
      </c>
      <c r="E252" s="136" t="s">
        <v>1571</v>
      </c>
      <c r="F252" s="419">
        <v>43100</v>
      </c>
      <c r="G252" s="140">
        <v>5411.8825200000001</v>
      </c>
      <c r="H252" s="140">
        <v>55</v>
      </c>
      <c r="I252" s="140"/>
      <c r="J252" s="140">
        <v>-25.236250000000002</v>
      </c>
      <c r="K252" s="140">
        <v>1939.7357</v>
      </c>
      <c r="L252" s="140">
        <v>2076.4500700000003</v>
      </c>
    </row>
    <row r="253" spans="1:12" ht="21">
      <c r="A253" s="138" t="s">
        <v>2037</v>
      </c>
      <c r="B253" s="135" t="s">
        <v>2040</v>
      </c>
      <c r="C253" s="136" t="s">
        <v>773</v>
      </c>
      <c r="D253" s="136" t="s">
        <v>774</v>
      </c>
      <c r="E253" s="138" t="s">
        <v>1571</v>
      </c>
      <c r="F253" s="420">
        <v>43100</v>
      </c>
      <c r="G253" s="141">
        <v>5398.5636499999991</v>
      </c>
      <c r="H253" s="141">
        <v>31</v>
      </c>
      <c r="I253" s="141">
        <v>29.945940000000004</v>
      </c>
      <c r="J253" s="141">
        <v>199.35719</v>
      </c>
      <c r="K253" s="141">
        <v>1369.4497699999999</v>
      </c>
      <c r="L253" s="141">
        <v>1755.7617590000002</v>
      </c>
    </row>
    <row r="254" spans="1:12">
      <c r="A254" s="136" t="s">
        <v>2039</v>
      </c>
      <c r="B254" s="137" t="s">
        <v>2042</v>
      </c>
      <c r="C254" s="138" t="s">
        <v>1541</v>
      </c>
      <c r="D254" s="138" t="s">
        <v>1279</v>
      </c>
      <c r="E254" s="136" t="s">
        <v>1571</v>
      </c>
      <c r="F254" s="419">
        <v>43100</v>
      </c>
      <c r="G254" s="140">
        <v>5351.8644000000004</v>
      </c>
      <c r="H254" s="140">
        <v>57</v>
      </c>
      <c r="I254" s="140">
        <v>49.44014</v>
      </c>
      <c r="J254" s="140">
        <v>-2244.1809600000001</v>
      </c>
      <c r="K254" s="140">
        <v>2096.7370800000003</v>
      </c>
      <c r="L254" s="140">
        <v>146.73161000000002</v>
      </c>
    </row>
    <row r="255" spans="1:12" ht="63">
      <c r="A255" s="138" t="s">
        <v>2041</v>
      </c>
      <c r="B255" s="135" t="s">
        <v>2044</v>
      </c>
      <c r="C255" s="136" t="s">
        <v>1553</v>
      </c>
      <c r="D255" s="136" t="s">
        <v>1279</v>
      </c>
      <c r="E255" s="138" t="s">
        <v>1571</v>
      </c>
      <c r="F255" s="420">
        <v>43100</v>
      </c>
      <c r="G255" s="141">
        <v>5339.6080000000002</v>
      </c>
      <c r="H255" s="141">
        <v>33</v>
      </c>
      <c r="I255" s="141">
        <v>13.146000000000001</v>
      </c>
      <c r="J255" s="141">
        <v>40.032000000000004</v>
      </c>
      <c r="K255" s="141">
        <v>1144.9000000000001</v>
      </c>
      <c r="L255" s="141">
        <v>1391.251</v>
      </c>
    </row>
    <row r="256" spans="1:12" ht="21">
      <c r="A256" s="136" t="s">
        <v>2043</v>
      </c>
      <c r="B256" s="137" t="s">
        <v>2046</v>
      </c>
      <c r="C256" s="138" t="s">
        <v>642</v>
      </c>
      <c r="D256" s="138" t="s">
        <v>641</v>
      </c>
      <c r="E256" s="136" t="s">
        <v>1571</v>
      </c>
      <c r="F256" s="419">
        <v>43100</v>
      </c>
      <c r="G256" s="140">
        <v>5318.7089999999998</v>
      </c>
      <c r="H256" s="140">
        <v>20</v>
      </c>
      <c r="I256" s="143" t="s">
        <v>189</v>
      </c>
      <c r="J256" s="140">
        <v>500.09500000000003</v>
      </c>
      <c r="K256" s="140">
        <v>1288.991</v>
      </c>
      <c r="L256" s="140">
        <v>2569.4259999999999</v>
      </c>
    </row>
    <row r="257" spans="1:12" ht="42">
      <c r="A257" s="138" t="s">
        <v>2045</v>
      </c>
      <c r="B257" s="135" t="s">
        <v>2048</v>
      </c>
      <c r="C257" s="136" t="s">
        <v>985</v>
      </c>
      <c r="D257" s="136" t="s">
        <v>975</v>
      </c>
      <c r="E257" s="138" t="s">
        <v>1571</v>
      </c>
      <c r="F257" s="420">
        <v>43100</v>
      </c>
      <c r="G257" s="141">
        <v>5279.4241000000002</v>
      </c>
      <c r="H257" s="141">
        <v>48</v>
      </c>
      <c r="I257" s="141"/>
      <c r="J257" s="141">
        <v>129.34181000000001</v>
      </c>
      <c r="K257" s="141">
        <v>1697.5639900000001</v>
      </c>
      <c r="L257" s="141">
        <v>2974.7285899999997</v>
      </c>
    </row>
    <row r="258" spans="1:12" ht="21">
      <c r="A258" s="136" t="s">
        <v>2047</v>
      </c>
      <c r="B258" s="137" t="s">
        <v>2050</v>
      </c>
      <c r="C258" s="138" t="s">
        <v>1520</v>
      </c>
      <c r="D258" s="138" t="s">
        <v>1501</v>
      </c>
      <c r="E258" s="136" t="s">
        <v>1571</v>
      </c>
      <c r="F258" s="419">
        <v>43100</v>
      </c>
      <c r="G258" s="140">
        <v>5279.3788400000003</v>
      </c>
      <c r="H258" s="140">
        <v>20</v>
      </c>
      <c r="I258" s="143" t="s">
        <v>189</v>
      </c>
      <c r="J258" s="140">
        <v>-98.855040000000002</v>
      </c>
      <c r="K258" s="140">
        <v>890.43034000000011</v>
      </c>
      <c r="L258" s="140">
        <v>963.54091900000003</v>
      </c>
    </row>
    <row r="259" spans="1:12" ht="42">
      <c r="A259" s="138" t="s">
        <v>2049</v>
      </c>
      <c r="B259" s="135" t="s">
        <v>2052</v>
      </c>
      <c r="C259" s="136" t="s">
        <v>649</v>
      </c>
      <c r="D259" s="136" t="s">
        <v>1622</v>
      </c>
      <c r="E259" s="138" t="s">
        <v>1571</v>
      </c>
      <c r="F259" s="420">
        <v>43100</v>
      </c>
      <c r="G259" s="141">
        <v>5267.1611199999988</v>
      </c>
      <c r="H259" s="141">
        <v>27</v>
      </c>
      <c r="I259" s="141">
        <v>47.637659999999997</v>
      </c>
      <c r="J259" s="141">
        <v>99.294020000000003</v>
      </c>
      <c r="K259" s="141">
        <v>1028.2850900000001</v>
      </c>
      <c r="L259" s="141">
        <v>1516.9420300000002</v>
      </c>
    </row>
    <row r="260" spans="1:12">
      <c r="A260" s="136" t="s">
        <v>2051</v>
      </c>
      <c r="B260" s="137" t="s">
        <v>2054</v>
      </c>
      <c r="C260" s="138" t="s">
        <v>619</v>
      </c>
      <c r="D260" s="138" t="s">
        <v>596</v>
      </c>
      <c r="E260" s="136" t="s">
        <v>1571</v>
      </c>
      <c r="F260" s="419">
        <v>43100</v>
      </c>
      <c r="G260" s="140">
        <v>5265.4525999999996</v>
      </c>
      <c r="H260" s="140">
        <v>72</v>
      </c>
      <c r="I260" s="140">
        <v>51.486950000000007</v>
      </c>
      <c r="J260" s="140">
        <v>195.39823000000001</v>
      </c>
      <c r="K260" s="140">
        <v>3686.9570800000001</v>
      </c>
      <c r="L260" s="140">
        <v>3980.6898299999998</v>
      </c>
    </row>
    <row r="261" spans="1:12">
      <c r="A261" s="138" t="s">
        <v>2053</v>
      </c>
      <c r="B261" s="135" t="s">
        <v>2056</v>
      </c>
      <c r="C261" s="136" t="s">
        <v>718</v>
      </c>
      <c r="D261" s="136" t="s">
        <v>719</v>
      </c>
      <c r="E261" s="138" t="s">
        <v>1571</v>
      </c>
      <c r="F261" s="420">
        <v>43100</v>
      </c>
      <c r="G261" s="141">
        <v>5211.6780499999995</v>
      </c>
      <c r="H261" s="141">
        <v>21</v>
      </c>
      <c r="I261" s="141">
        <v>36.905229999999996</v>
      </c>
      <c r="J261" s="141">
        <v>-97.609409999999997</v>
      </c>
      <c r="K261" s="141">
        <v>1000.6631699999999</v>
      </c>
      <c r="L261" s="141">
        <v>1114.3295890000002</v>
      </c>
    </row>
    <row r="262" spans="1:12" ht="21">
      <c r="A262" s="136" t="s">
        <v>2055</v>
      </c>
      <c r="B262" s="139" t="s">
        <v>2058</v>
      </c>
      <c r="C262" s="138" t="s">
        <v>1291</v>
      </c>
      <c r="D262" s="138" t="s">
        <v>1266</v>
      </c>
      <c r="E262" s="136" t="s">
        <v>1571</v>
      </c>
      <c r="F262" s="419">
        <v>43100</v>
      </c>
      <c r="G262" s="140">
        <v>5178.9470099999999</v>
      </c>
      <c r="H262" s="140">
        <v>42</v>
      </c>
      <c r="I262" s="140">
        <v>15.556040000000001</v>
      </c>
      <c r="J262" s="140">
        <v>262.2928</v>
      </c>
      <c r="K262" s="140">
        <v>1562.8727800000001</v>
      </c>
      <c r="L262" s="140">
        <v>2300.0847000000003</v>
      </c>
    </row>
    <row r="263" spans="1:12">
      <c r="A263" s="138" t="s">
        <v>2057</v>
      </c>
      <c r="B263" s="135" t="s">
        <v>2060</v>
      </c>
      <c r="C263" s="136" t="s">
        <v>1056</v>
      </c>
      <c r="D263" s="136" t="s">
        <v>969</v>
      </c>
      <c r="E263" s="138" t="s">
        <v>1571</v>
      </c>
      <c r="F263" s="420">
        <v>42004</v>
      </c>
      <c r="G263" s="141">
        <v>5177.9518599999992</v>
      </c>
      <c r="H263" s="141">
        <v>19</v>
      </c>
      <c r="I263" s="141">
        <v>149.84249</v>
      </c>
      <c r="J263" s="141">
        <v>395.70684999999997</v>
      </c>
      <c r="K263" s="141">
        <v>789.99260000000004</v>
      </c>
      <c r="L263" s="141">
        <v>1442.42048</v>
      </c>
    </row>
    <row r="264" spans="1:12" ht="31.5">
      <c r="A264" s="136" t="s">
        <v>2059</v>
      </c>
      <c r="B264" s="137" t="s">
        <v>2062</v>
      </c>
      <c r="C264" s="138" t="s">
        <v>750</v>
      </c>
      <c r="D264" s="138" t="s">
        <v>2063</v>
      </c>
      <c r="E264" s="136" t="s">
        <v>1571</v>
      </c>
      <c r="F264" s="419">
        <v>43100</v>
      </c>
      <c r="G264" s="140">
        <v>5134.3714800000007</v>
      </c>
      <c r="H264" s="140">
        <v>21</v>
      </c>
      <c r="I264" s="140">
        <v>77.76718000000001</v>
      </c>
      <c r="J264" s="140">
        <v>471.98077000000001</v>
      </c>
      <c r="K264" s="140">
        <v>646.46286999999995</v>
      </c>
      <c r="L264" s="140">
        <v>1322.5451800000003</v>
      </c>
    </row>
    <row r="265" spans="1:12" ht="31.5">
      <c r="A265" s="138" t="s">
        <v>2061</v>
      </c>
      <c r="B265" s="135" t="s">
        <v>2065</v>
      </c>
      <c r="C265" s="136" t="s">
        <v>798</v>
      </c>
      <c r="D265" s="136" t="s">
        <v>795</v>
      </c>
      <c r="E265" s="138" t="s">
        <v>1571</v>
      </c>
      <c r="F265" s="420">
        <v>43100</v>
      </c>
      <c r="G265" s="141">
        <v>5126.7662289999998</v>
      </c>
      <c r="H265" s="141">
        <v>19</v>
      </c>
      <c r="I265" s="141">
        <v>137.14731</v>
      </c>
      <c r="J265" s="141">
        <v>450.91829000000007</v>
      </c>
      <c r="K265" s="141">
        <v>757.07802000000004</v>
      </c>
      <c r="L265" s="141">
        <v>1421.9279300000001</v>
      </c>
    </row>
    <row r="266" spans="1:12" ht="21">
      <c r="A266" s="136" t="s">
        <v>2064</v>
      </c>
      <c r="B266" s="137" t="s">
        <v>2067</v>
      </c>
      <c r="C266" s="138" t="s">
        <v>657</v>
      </c>
      <c r="D266" s="138" t="s">
        <v>1622</v>
      </c>
      <c r="E266" s="136" t="s">
        <v>1571</v>
      </c>
      <c r="F266" s="419">
        <v>43100</v>
      </c>
      <c r="G266" s="140">
        <v>5122.5548399999998</v>
      </c>
      <c r="H266" s="140">
        <v>39</v>
      </c>
      <c r="I266" s="140"/>
      <c r="J266" s="140">
        <v>904.19152000000008</v>
      </c>
      <c r="K266" s="140">
        <v>1438.6283700000001</v>
      </c>
      <c r="L266" s="140">
        <v>2454.3607700000002</v>
      </c>
    </row>
    <row r="267" spans="1:12" ht="42">
      <c r="A267" s="138" t="s">
        <v>2066</v>
      </c>
      <c r="B267" s="135" t="s">
        <v>2069</v>
      </c>
      <c r="C267" s="136" t="s">
        <v>1230</v>
      </c>
      <c r="D267" s="136" t="s">
        <v>1229</v>
      </c>
      <c r="E267" s="138" t="s">
        <v>1571</v>
      </c>
      <c r="F267" s="420">
        <v>43100</v>
      </c>
      <c r="G267" s="141">
        <v>5087.3366699999997</v>
      </c>
      <c r="H267" s="141">
        <v>10</v>
      </c>
      <c r="I267" s="141">
        <v>251.29564999999999</v>
      </c>
      <c r="J267" s="141">
        <v>658.93520999999998</v>
      </c>
      <c r="K267" s="141">
        <v>580.53146000000004</v>
      </c>
      <c r="L267" s="141">
        <v>1560.9160590000001</v>
      </c>
    </row>
    <row r="268" spans="1:12" ht="21">
      <c r="A268" s="136" t="s">
        <v>2068</v>
      </c>
      <c r="B268" s="137" t="s">
        <v>2071</v>
      </c>
      <c r="C268" s="138" t="s">
        <v>797</v>
      </c>
      <c r="D268" s="138" t="s">
        <v>795</v>
      </c>
      <c r="E268" s="136" t="s">
        <v>1571</v>
      </c>
      <c r="F268" s="419">
        <v>43100</v>
      </c>
      <c r="G268" s="140">
        <v>5062.1515499999996</v>
      </c>
      <c r="H268" s="140">
        <v>20</v>
      </c>
      <c r="I268" s="140">
        <v>73.54637000000001</v>
      </c>
      <c r="J268" s="140">
        <v>348.64690000000002</v>
      </c>
      <c r="K268" s="140">
        <v>810.67236000000014</v>
      </c>
      <c r="L268" s="140">
        <v>1300.8862900000001</v>
      </c>
    </row>
    <row r="269" spans="1:12">
      <c r="A269" s="138" t="s">
        <v>2070</v>
      </c>
      <c r="B269" s="135" t="s">
        <v>2073</v>
      </c>
      <c r="C269" s="136" t="s">
        <v>731</v>
      </c>
      <c r="D269" s="136" t="s">
        <v>726</v>
      </c>
      <c r="E269" s="138" t="s">
        <v>1571</v>
      </c>
      <c r="F269" s="420">
        <v>43100</v>
      </c>
      <c r="G269" s="141">
        <v>5016.7529999999997</v>
      </c>
      <c r="H269" s="141">
        <v>26</v>
      </c>
      <c r="I269" s="141"/>
      <c r="J269" s="141">
        <v>446.91200000000003</v>
      </c>
      <c r="K269" s="141">
        <v>1399.883</v>
      </c>
      <c r="L269" s="141">
        <v>2060.6680000000001</v>
      </c>
    </row>
    <row r="270" spans="1:12" ht="31.5">
      <c r="A270" s="136" t="s">
        <v>2072</v>
      </c>
      <c r="B270" s="139" t="s">
        <v>2075</v>
      </c>
      <c r="C270" s="138" t="s">
        <v>1373</v>
      </c>
      <c r="D270" s="138" t="s">
        <v>2076</v>
      </c>
      <c r="E270" s="136" t="s">
        <v>1571</v>
      </c>
      <c r="F270" s="419">
        <v>43100</v>
      </c>
      <c r="G270" s="140">
        <v>5012.0291999999999</v>
      </c>
      <c r="H270" s="140">
        <v>30</v>
      </c>
      <c r="I270" s="140">
        <v>37.041360000000005</v>
      </c>
      <c r="J270" s="140">
        <v>306.04566</v>
      </c>
      <c r="K270" s="140">
        <v>1221.7920300000001</v>
      </c>
      <c r="L270" s="140">
        <v>1709.8078500000001</v>
      </c>
    </row>
    <row r="271" spans="1:12" ht="21">
      <c r="A271" s="138" t="s">
        <v>2074</v>
      </c>
      <c r="B271" s="135" t="s">
        <v>2078</v>
      </c>
      <c r="C271" s="136" t="s">
        <v>735</v>
      </c>
      <c r="D271" s="136" t="s">
        <v>736</v>
      </c>
      <c r="E271" s="138" t="s">
        <v>1571</v>
      </c>
      <c r="F271" s="420">
        <v>42369</v>
      </c>
      <c r="G271" s="141">
        <v>5011.6771799999997</v>
      </c>
      <c r="H271" s="141">
        <v>63</v>
      </c>
      <c r="I271" s="141">
        <v>7.4610799999999999</v>
      </c>
      <c r="J271" s="141">
        <v>14.185630000000002</v>
      </c>
      <c r="K271" s="141">
        <v>1721.2441100000001</v>
      </c>
      <c r="L271" s="141">
        <v>2664.2079299999996</v>
      </c>
    </row>
    <row r="272" spans="1:12">
      <c r="A272" s="136" t="s">
        <v>2077</v>
      </c>
      <c r="B272" s="137" t="s">
        <v>2080</v>
      </c>
      <c r="C272" s="138" t="s">
        <v>1085</v>
      </c>
      <c r="D272" s="138" t="s">
        <v>811</v>
      </c>
      <c r="E272" s="136" t="s">
        <v>1571</v>
      </c>
      <c r="F272" s="419">
        <v>42735</v>
      </c>
      <c r="G272" s="140">
        <v>5003.7658700000002</v>
      </c>
      <c r="H272" s="140">
        <v>41</v>
      </c>
      <c r="I272" s="140"/>
      <c r="J272" s="140">
        <v>30.189529999999998</v>
      </c>
      <c r="K272" s="140">
        <v>2347.9269399999998</v>
      </c>
      <c r="L272" s="140">
        <v>2587.6934489999999</v>
      </c>
    </row>
    <row r="273" spans="1:12" ht="31.5">
      <c r="A273" s="138" t="s">
        <v>2079</v>
      </c>
      <c r="B273" s="135" t="s">
        <v>2082</v>
      </c>
      <c r="C273" s="136" t="s">
        <v>1503</v>
      </c>
      <c r="D273" s="136" t="s">
        <v>1429</v>
      </c>
      <c r="E273" s="138" t="s">
        <v>1571</v>
      </c>
      <c r="F273" s="420">
        <v>43100</v>
      </c>
      <c r="G273" s="141">
        <v>4996.8404900000005</v>
      </c>
      <c r="H273" s="141">
        <v>21</v>
      </c>
      <c r="I273" s="141">
        <v>9.423230000000002</v>
      </c>
      <c r="J273" s="141">
        <v>29.840209999999999</v>
      </c>
      <c r="K273" s="141">
        <v>806.10631000000012</v>
      </c>
      <c r="L273" s="141">
        <v>943.41690900000003</v>
      </c>
    </row>
    <row r="274" spans="1:12">
      <c r="A274" s="136" t="s">
        <v>2081</v>
      </c>
      <c r="B274" s="137" t="s">
        <v>2084</v>
      </c>
      <c r="C274" s="138" t="s">
        <v>992</v>
      </c>
      <c r="D274" s="138" t="s">
        <v>975</v>
      </c>
      <c r="E274" s="136" t="s">
        <v>1571</v>
      </c>
      <c r="F274" s="419">
        <v>42735</v>
      </c>
      <c r="G274" s="140">
        <v>4984.9163899999994</v>
      </c>
      <c r="H274" s="140">
        <v>41</v>
      </c>
      <c r="I274" s="143" t="s">
        <v>189</v>
      </c>
      <c r="J274" s="140">
        <v>114.78237000000001</v>
      </c>
      <c r="K274" s="140">
        <v>1414.3976800000003</v>
      </c>
      <c r="L274" s="140">
        <v>1617.9370990000002</v>
      </c>
    </row>
    <row r="275" spans="1:12" ht="42">
      <c r="A275" s="138" t="s">
        <v>2083</v>
      </c>
      <c r="B275" s="135" t="s">
        <v>2086</v>
      </c>
      <c r="C275" s="136" t="s">
        <v>1486</v>
      </c>
      <c r="D275" s="136" t="s">
        <v>1474</v>
      </c>
      <c r="E275" s="138" t="s">
        <v>1571</v>
      </c>
      <c r="F275" s="420">
        <v>42735</v>
      </c>
      <c r="G275" s="141">
        <v>4961.0259999999998</v>
      </c>
      <c r="H275" s="141">
        <v>24</v>
      </c>
      <c r="I275" s="142" t="s">
        <v>189</v>
      </c>
      <c r="J275" s="141">
        <v>13.338000000000001</v>
      </c>
      <c r="K275" s="141">
        <v>733.17200000000003</v>
      </c>
      <c r="L275" s="141">
        <v>1044.6390000000001</v>
      </c>
    </row>
    <row r="276" spans="1:12" ht="21">
      <c r="A276" s="136" t="s">
        <v>2085</v>
      </c>
      <c r="B276" s="137" t="s">
        <v>2088</v>
      </c>
      <c r="C276" s="138" t="s">
        <v>804</v>
      </c>
      <c r="D276" s="138" t="s">
        <v>800</v>
      </c>
      <c r="E276" s="136" t="s">
        <v>1571</v>
      </c>
      <c r="F276" s="419">
        <v>43100</v>
      </c>
      <c r="G276" s="140">
        <v>4954.0864500000007</v>
      </c>
      <c r="H276" s="140">
        <v>18</v>
      </c>
      <c r="I276" s="140"/>
      <c r="J276" s="140">
        <v>-156.18312</v>
      </c>
      <c r="K276" s="140">
        <v>778.37430000000006</v>
      </c>
      <c r="L276" s="140">
        <v>742.82236000000012</v>
      </c>
    </row>
    <row r="277" spans="1:12">
      <c r="A277" s="138" t="s">
        <v>2087</v>
      </c>
      <c r="B277" s="135" t="s">
        <v>2090</v>
      </c>
      <c r="C277" s="136" t="s">
        <v>946</v>
      </c>
      <c r="D277" s="136" t="s">
        <v>811</v>
      </c>
      <c r="E277" s="138" t="s">
        <v>1571</v>
      </c>
      <c r="F277" s="420">
        <v>43100</v>
      </c>
      <c r="G277" s="141">
        <v>4915.35808</v>
      </c>
      <c r="H277" s="141">
        <v>10</v>
      </c>
      <c r="I277" s="141">
        <v>11.849140000000002</v>
      </c>
      <c r="J277" s="141">
        <v>57.546850000000006</v>
      </c>
      <c r="K277" s="141">
        <v>427.09322000000003</v>
      </c>
      <c r="L277" s="141">
        <v>574.71443000000011</v>
      </c>
    </row>
    <row r="278" spans="1:12">
      <c r="A278" s="136" t="s">
        <v>2089</v>
      </c>
      <c r="B278" s="137" t="s">
        <v>2092</v>
      </c>
      <c r="C278" s="138" t="s">
        <v>732</v>
      </c>
      <c r="D278" s="138" t="s">
        <v>726</v>
      </c>
      <c r="E278" s="136" t="s">
        <v>1571</v>
      </c>
      <c r="F278" s="419">
        <v>42735</v>
      </c>
      <c r="G278" s="140">
        <v>4911.3635199999999</v>
      </c>
      <c r="H278" s="140">
        <v>8</v>
      </c>
      <c r="I278" s="143" t="s">
        <v>189</v>
      </c>
      <c r="J278" s="140">
        <v>-70.720370000000017</v>
      </c>
      <c r="K278" s="140">
        <v>534.21681000000012</v>
      </c>
      <c r="L278" s="140">
        <v>469.48604</v>
      </c>
    </row>
    <row r="279" spans="1:12" ht="42">
      <c r="A279" s="138" t="s">
        <v>2091</v>
      </c>
      <c r="B279" s="135" t="s">
        <v>2094</v>
      </c>
      <c r="C279" s="136" t="s">
        <v>858</v>
      </c>
      <c r="D279" s="136" t="s">
        <v>811</v>
      </c>
      <c r="E279" s="138" t="s">
        <v>1571</v>
      </c>
      <c r="F279" s="420">
        <v>43100</v>
      </c>
      <c r="G279" s="141">
        <v>4894.2151700000004</v>
      </c>
      <c r="H279" s="141">
        <v>33</v>
      </c>
      <c r="I279" s="141">
        <v>10.74361</v>
      </c>
      <c r="J279" s="141">
        <v>70.64734</v>
      </c>
      <c r="K279" s="141">
        <v>1279.2360800000001</v>
      </c>
      <c r="L279" s="141">
        <v>1565.1607800000002</v>
      </c>
    </row>
    <row r="280" spans="1:12" ht="31.5">
      <c r="A280" s="136" t="s">
        <v>2093</v>
      </c>
      <c r="B280" s="137" t="s">
        <v>2096</v>
      </c>
      <c r="C280" s="138" t="s">
        <v>1340</v>
      </c>
      <c r="D280" s="138" t="s">
        <v>1341</v>
      </c>
      <c r="E280" s="136" t="s">
        <v>1571</v>
      </c>
      <c r="F280" s="419">
        <v>43100</v>
      </c>
      <c r="G280" s="140">
        <v>4860.3052700000007</v>
      </c>
      <c r="H280" s="140">
        <v>90</v>
      </c>
      <c r="I280" s="140"/>
      <c r="J280" s="140">
        <v>-616.16706000000011</v>
      </c>
      <c r="K280" s="140">
        <v>2288.0017900000003</v>
      </c>
      <c r="L280" s="140">
        <v>1539.53394</v>
      </c>
    </row>
    <row r="281" spans="1:12">
      <c r="A281" s="138" t="s">
        <v>2095</v>
      </c>
      <c r="B281" s="135" t="s">
        <v>2098</v>
      </c>
      <c r="C281" s="136" t="s">
        <v>791</v>
      </c>
      <c r="D281" s="136" t="s">
        <v>789</v>
      </c>
      <c r="E281" s="138" t="s">
        <v>1571</v>
      </c>
      <c r="F281" s="420">
        <v>43100</v>
      </c>
      <c r="G281" s="141">
        <v>4849.4679999999998</v>
      </c>
      <c r="H281" s="141">
        <v>124</v>
      </c>
      <c r="I281" s="142" t="s">
        <v>189</v>
      </c>
      <c r="J281" s="141">
        <v>-20</v>
      </c>
      <c r="K281" s="141">
        <v>2472.7829999999999</v>
      </c>
      <c r="L281" s="141">
        <v>2664.7110000000002</v>
      </c>
    </row>
    <row r="282" spans="1:12" ht="31.5">
      <c r="A282" s="136" t="s">
        <v>2097</v>
      </c>
      <c r="B282" s="137" t="s">
        <v>2100</v>
      </c>
      <c r="C282" s="138" t="s">
        <v>1483</v>
      </c>
      <c r="D282" s="138" t="s">
        <v>1474</v>
      </c>
      <c r="E282" s="136" t="s">
        <v>1571</v>
      </c>
      <c r="F282" s="419">
        <v>43100</v>
      </c>
      <c r="G282" s="140">
        <v>4799.9949100000003</v>
      </c>
      <c r="H282" s="140">
        <v>30</v>
      </c>
      <c r="I282" s="140">
        <v>17.441470000000002</v>
      </c>
      <c r="J282" s="140">
        <v>264.52733000000001</v>
      </c>
      <c r="K282" s="140">
        <v>1268.9275300000002</v>
      </c>
      <c r="L282" s="140">
        <v>1732.1378590000002</v>
      </c>
    </row>
    <row r="283" spans="1:12" ht="21">
      <c r="A283" s="138" t="s">
        <v>2099</v>
      </c>
      <c r="B283" s="135" t="s">
        <v>2102</v>
      </c>
      <c r="C283" s="136" t="s">
        <v>1473</v>
      </c>
      <c r="D283" s="136" t="s">
        <v>1474</v>
      </c>
      <c r="E283" s="138" t="s">
        <v>1571</v>
      </c>
      <c r="F283" s="420">
        <v>43100</v>
      </c>
      <c r="G283" s="141">
        <v>4757.0126499999997</v>
      </c>
      <c r="H283" s="141">
        <v>11</v>
      </c>
      <c r="I283" s="141">
        <v>195.47970000000001</v>
      </c>
      <c r="J283" s="141">
        <v>533.28706899999997</v>
      </c>
      <c r="K283" s="141">
        <v>850.00515000000007</v>
      </c>
      <c r="L283" s="141">
        <v>1635.3994690000002</v>
      </c>
    </row>
    <row r="284" spans="1:12" ht="31.5">
      <c r="A284" s="136" t="s">
        <v>2101</v>
      </c>
      <c r="B284" s="137" t="s">
        <v>2104</v>
      </c>
      <c r="C284" s="138" t="s">
        <v>1385</v>
      </c>
      <c r="D284" s="138" t="s">
        <v>1797</v>
      </c>
      <c r="E284" s="136" t="s">
        <v>1571</v>
      </c>
      <c r="F284" s="419">
        <v>43100</v>
      </c>
      <c r="G284" s="140">
        <v>4745.1590200000001</v>
      </c>
      <c r="H284" s="140">
        <v>155</v>
      </c>
      <c r="I284" s="140"/>
      <c r="J284" s="140">
        <v>216.53501</v>
      </c>
      <c r="K284" s="140">
        <v>3772.7552300000002</v>
      </c>
      <c r="L284" s="140">
        <v>3888.3913600000001</v>
      </c>
    </row>
    <row r="285" spans="1:12">
      <c r="A285" s="138" t="s">
        <v>2103</v>
      </c>
      <c r="B285" s="135" t="s">
        <v>2106</v>
      </c>
      <c r="C285" s="136" t="s">
        <v>1162</v>
      </c>
      <c r="D285" s="136" t="s">
        <v>1156</v>
      </c>
      <c r="E285" s="138" t="s">
        <v>1571</v>
      </c>
      <c r="F285" s="420">
        <v>43100</v>
      </c>
      <c r="G285" s="141">
        <v>4732.9515700000002</v>
      </c>
      <c r="H285" s="141">
        <v>101</v>
      </c>
      <c r="I285" s="141">
        <v>18.85183</v>
      </c>
      <c r="J285" s="141">
        <v>48.476140000000001</v>
      </c>
      <c r="K285" s="141">
        <v>2816.4080199999999</v>
      </c>
      <c r="L285" s="141">
        <v>2895.6437400000004</v>
      </c>
    </row>
    <row r="286" spans="1:12" ht="21">
      <c r="A286" s="136" t="s">
        <v>2105</v>
      </c>
      <c r="B286" s="137" t="s">
        <v>2108</v>
      </c>
      <c r="C286" s="138" t="s">
        <v>1199</v>
      </c>
      <c r="D286" s="138" t="s">
        <v>1197</v>
      </c>
      <c r="E286" s="136" t="s">
        <v>1571</v>
      </c>
      <c r="F286" s="419">
        <v>43100</v>
      </c>
      <c r="G286" s="140">
        <v>4720.7025100000001</v>
      </c>
      <c r="H286" s="140">
        <v>52</v>
      </c>
      <c r="I286" s="140"/>
      <c r="J286" s="140">
        <v>-24.037710000000001</v>
      </c>
      <c r="K286" s="140">
        <v>1878.6566</v>
      </c>
      <c r="L286" s="140">
        <v>2247.029329</v>
      </c>
    </row>
    <row r="287" spans="1:12" ht="42">
      <c r="A287" s="138" t="s">
        <v>2107</v>
      </c>
      <c r="B287" s="135" t="s">
        <v>2110</v>
      </c>
      <c r="C287" s="136" t="s">
        <v>1193</v>
      </c>
      <c r="D287" s="136" t="s">
        <v>1190</v>
      </c>
      <c r="E287" s="138" t="s">
        <v>1571</v>
      </c>
      <c r="F287" s="420">
        <v>43100</v>
      </c>
      <c r="G287" s="141">
        <v>4717.7991889999994</v>
      </c>
      <c r="H287" s="141">
        <v>43</v>
      </c>
      <c r="I287" s="141">
        <v>23.66366</v>
      </c>
      <c r="J287" s="141">
        <v>82.141030000000001</v>
      </c>
      <c r="K287" s="141">
        <v>1864.3286100000003</v>
      </c>
      <c r="L287" s="141">
        <v>2336.5271400000001</v>
      </c>
    </row>
    <row r="288" spans="1:12" ht="42">
      <c r="A288" s="136" t="s">
        <v>2109</v>
      </c>
      <c r="B288" s="137" t="s">
        <v>2112</v>
      </c>
      <c r="C288" s="138" t="s">
        <v>1079</v>
      </c>
      <c r="D288" s="138" t="s">
        <v>969</v>
      </c>
      <c r="E288" s="136" t="s">
        <v>1571</v>
      </c>
      <c r="F288" s="419">
        <v>43100</v>
      </c>
      <c r="G288" s="140">
        <v>4703.6744000000008</v>
      </c>
      <c r="H288" s="140">
        <v>42</v>
      </c>
      <c r="I288" s="140"/>
      <c r="J288" s="140">
        <v>399.86823000000004</v>
      </c>
      <c r="K288" s="140">
        <v>1929.6461100000001</v>
      </c>
      <c r="L288" s="140">
        <v>2601.6975499999999</v>
      </c>
    </row>
    <row r="289" spans="1:12" ht="42">
      <c r="A289" s="138" t="s">
        <v>2111</v>
      </c>
      <c r="B289" s="135" t="s">
        <v>2114</v>
      </c>
      <c r="C289" s="136" t="s">
        <v>978</v>
      </c>
      <c r="D289" s="136" t="s">
        <v>975</v>
      </c>
      <c r="E289" s="138" t="s">
        <v>1571</v>
      </c>
      <c r="F289" s="420">
        <v>43100</v>
      </c>
      <c r="G289" s="141">
        <v>4677</v>
      </c>
      <c r="H289" s="141">
        <v>46</v>
      </c>
      <c r="I289" s="141">
        <v>583</v>
      </c>
      <c r="J289" s="141">
        <v>1566</v>
      </c>
      <c r="K289" s="141">
        <v>1824</v>
      </c>
      <c r="L289" s="141">
        <v>4257</v>
      </c>
    </row>
    <row r="290" spans="1:12" ht="21">
      <c r="A290" s="136" t="s">
        <v>2113</v>
      </c>
      <c r="B290" s="137" t="s">
        <v>2116</v>
      </c>
      <c r="C290" s="138" t="s">
        <v>611</v>
      </c>
      <c r="D290" s="138" t="s">
        <v>596</v>
      </c>
      <c r="E290" s="136" t="s">
        <v>1571</v>
      </c>
      <c r="F290" s="419">
        <v>42369</v>
      </c>
      <c r="G290" s="140">
        <v>4675.3922899999998</v>
      </c>
      <c r="H290" s="140">
        <v>98</v>
      </c>
      <c r="I290" s="143" t="s">
        <v>189</v>
      </c>
      <c r="J290" s="140">
        <v>53.046599999999998</v>
      </c>
      <c r="K290" s="140">
        <v>2259.8682800000001</v>
      </c>
      <c r="L290" s="140">
        <v>2528.8464099999997</v>
      </c>
    </row>
    <row r="291" spans="1:12" ht="31.5">
      <c r="A291" s="138" t="s">
        <v>2115</v>
      </c>
      <c r="B291" s="135" t="s">
        <v>2118</v>
      </c>
      <c r="C291" s="136" t="s">
        <v>1482</v>
      </c>
      <c r="D291" s="136" t="s">
        <v>1474</v>
      </c>
      <c r="E291" s="138" t="s">
        <v>1571</v>
      </c>
      <c r="F291" s="420">
        <v>43100</v>
      </c>
      <c r="G291" s="141">
        <v>4671.7407199999998</v>
      </c>
      <c r="H291" s="141">
        <v>18</v>
      </c>
      <c r="I291" s="141">
        <v>81.690479999999994</v>
      </c>
      <c r="J291" s="141">
        <v>337.55907000000002</v>
      </c>
      <c r="K291" s="141">
        <v>826.58544000000006</v>
      </c>
      <c r="L291" s="141">
        <v>1426.27241</v>
      </c>
    </row>
    <row r="292" spans="1:12" ht="21">
      <c r="A292" s="136" t="s">
        <v>2117</v>
      </c>
      <c r="B292" s="137" t="s">
        <v>2120</v>
      </c>
      <c r="C292" s="138" t="s">
        <v>1149</v>
      </c>
      <c r="D292" s="138" t="s">
        <v>1145</v>
      </c>
      <c r="E292" s="136" t="s">
        <v>1571</v>
      </c>
      <c r="F292" s="419">
        <v>43100</v>
      </c>
      <c r="G292" s="140">
        <v>4635.880470000001</v>
      </c>
      <c r="H292" s="140">
        <v>67</v>
      </c>
      <c r="I292" s="140">
        <v>14.937760000000001</v>
      </c>
      <c r="J292" s="140">
        <v>67.611239999999995</v>
      </c>
      <c r="K292" s="140">
        <v>2188.2481499999999</v>
      </c>
      <c r="L292" s="140">
        <v>2306.8301299999998</v>
      </c>
    </row>
    <row r="293" spans="1:12" ht="21">
      <c r="A293" s="138" t="s">
        <v>2119</v>
      </c>
      <c r="B293" s="135" t="s">
        <v>2122</v>
      </c>
      <c r="C293" s="136" t="s">
        <v>1489</v>
      </c>
      <c r="D293" s="136" t="s">
        <v>1474</v>
      </c>
      <c r="E293" s="138" t="s">
        <v>1571</v>
      </c>
      <c r="F293" s="420">
        <v>43100</v>
      </c>
      <c r="G293" s="141">
        <v>4590.1329400000004</v>
      </c>
      <c r="H293" s="141">
        <v>13</v>
      </c>
      <c r="I293" s="141">
        <v>27.59637</v>
      </c>
      <c r="J293" s="141">
        <v>87.388530000000003</v>
      </c>
      <c r="K293" s="141">
        <v>545.48350000000005</v>
      </c>
      <c r="L293" s="141">
        <v>714.05247999999995</v>
      </c>
    </row>
    <row r="294" spans="1:12" ht="21">
      <c r="A294" s="136" t="s">
        <v>2121</v>
      </c>
      <c r="B294" s="137" t="s">
        <v>2124</v>
      </c>
      <c r="C294" s="138" t="s">
        <v>1514</v>
      </c>
      <c r="D294" s="138" t="s">
        <v>1501</v>
      </c>
      <c r="E294" s="136" t="s">
        <v>1571</v>
      </c>
      <c r="F294" s="419">
        <v>43100</v>
      </c>
      <c r="G294" s="140">
        <v>4568.8490899999997</v>
      </c>
      <c r="H294" s="140">
        <v>16</v>
      </c>
      <c r="I294" s="140">
        <v>40.804189999999998</v>
      </c>
      <c r="J294" s="140">
        <v>102.13552</v>
      </c>
      <c r="K294" s="140">
        <v>771.94825000000003</v>
      </c>
      <c r="L294" s="140">
        <v>926.06844000000012</v>
      </c>
    </row>
    <row r="295" spans="1:12" ht="21">
      <c r="A295" s="138" t="s">
        <v>2123</v>
      </c>
      <c r="B295" s="135" t="s">
        <v>2126</v>
      </c>
      <c r="C295" s="136" t="s">
        <v>1138</v>
      </c>
      <c r="D295" s="136" t="s">
        <v>1135</v>
      </c>
      <c r="E295" s="138" t="s">
        <v>1571</v>
      </c>
      <c r="F295" s="420">
        <v>43100</v>
      </c>
      <c r="G295" s="141">
        <v>4558.6658099999995</v>
      </c>
      <c r="H295" s="141">
        <v>20</v>
      </c>
      <c r="I295" s="141">
        <v>5.2328900000000003</v>
      </c>
      <c r="J295" s="141">
        <v>16.570799999999998</v>
      </c>
      <c r="K295" s="141">
        <v>640.55643000000009</v>
      </c>
      <c r="L295" s="141">
        <v>723.56195000000014</v>
      </c>
    </row>
    <row r="296" spans="1:12" ht="21">
      <c r="A296" s="136" t="s">
        <v>2125</v>
      </c>
      <c r="B296" s="137" t="s">
        <v>2128</v>
      </c>
      <c r="C296" s="138" t="s">
        <v>1358</v>
      </c>
      <c r="D296" s="138" t="s">
        <v>1343</v>
      </c>
      <c r="E296" s="136" t="s">
        <v>1571</v>
      </c>
      <c r="F296" s="419">
        <v>43100</v>
      </c>
      <c r="G296" s="140">
        <v>4555.2970700000005</v>
      </c>
      <c r="H296" s="140">
        <v>16</v>
      </c>
      <c r="I296" s="143" t="s">
        <v>189</v>
      </c>
      <c r="J296" s="140">
        <v>78.36739</v>
      </c>
      <c r="K296" s="140">
        <v>465.58851000000004</v>
      </c>
      <c r="L296" s="140">
        <v>709.96408999999994</v>
      </c>
    </row>
    <row r="297" spans="1:12" ht="31.5">
      <c r="A297" s="138" t="s">
        <v>2127</v>
      </c>
      <c r="B297" s="135" t="s">
        <v>2130</v>
      </c>
      <c r="C297" s="136" t="s">
        <v>1125</v>
      </c>
      <c r="D297" s="136" t="s">
        <v>1112</v>
      </c>
      <c r="E297" s="138" t="s">
        <v>1571</v>
      </c>
      <c r="F297" s="420">
        <v>43100</v>
      </c>
      <c r="G297" s="141">
        <v>4555.2456099999999</v>
      </c>
      <c r="H297" s="141">
        <v>27</v>
      </c>
      <c r="I297" s="141"/>
      <c r="J297" s="141">
        <v>101.87418000000001</v>
      </c>
      <c r="K297" s="141">
        <v>1273.90753</v>
      </c>
      <c r="L297" s="141">
        <v>1524.6053190000002</v>
      </c>
    </row>
    <row r="298" spans="1:12" ht="21">
      <c r="A298" s="136" t="s">
        <v>2129</v>
      </c>
      <c r="B298" s="137" t="s">
        <v>2132</v>
      </c>
      <c r="C298" s="138" t="s">
        <v>823</v>
      </c>
      <c r="D298" s="138" t="s">
        <v>811</v>
      </c>
      <c r="E298" s="136" t="s">
        <v>1571</v>
      </c>
      <c r="F298" s="419">
        <v>42735</v>
      </c>
      <c r="G298" s="140">
        <v>4552.3310599999995</v>
      </c>
      <c r="H298" s="143" t="s">
        <v>189</v>
      </c>
      <c r="I298" s="140">
        <v>23.230629999999998</v>
      </c>
      <c r="J298" s="140">
        <v>73.563690000000008</v>
      </c>
      <c r="K298" s="140">
        <v>1143.9946100000002</v>
      </c>
      <c r="L298" s="140">
        <v>1390.8885299999999</v>
      </c>
    </row>
    <row r="299" spans="1:12" ht="21">
      <c r="A299" s="138" t="s">
        <v>2131</v>
      </c>
      <c r="B299" s="135" t="s">
        <v>2134</v>
      </c>
      <c r="C299" s="136" t="s">
        <v>1328</v>
      </c>
      <c r="D299" s="136" t="s">
        <v>1320</v>
      </c>
      <c r="E299" s="138" t="s">
        <v>1571</v>
      </c>
      <c r="F299" s="420">
        <v>42735</v>
      </c>
      <c r="G299" s="141">
        <v>4537.8215300000002</v>
      </c>
      <c r="H299" s="141">
        <v>39</v>
      </c>
      <c r="I299" s="141">
        <v>77.063289999999995</v>
      </c>
      <c r="J299" s="141">
        <v>289.29874000000001</v>
      </c>
      <c r="K299" s="141">
        <v>1382.3161900000002</v>
      </c>
      <c r="L299" s="141">
        <v>1836.2565099999999</v>
      </c>
    </row>
    <row r="300" spans="1:12" ht="52.5">
      <c r="A300" s="136" t="s">
        <v>2133</v>
      </c>
      <c r="B300" s="137" t="s">
        <v>2136</v>
      </c>
      <c r="C300" s="138" t="s">
        <v>626</v>
      </c>
      <c r="D300" s="138" t="s">
        <v>596</v>
      </c>
      <c r="E300" s="136" t="s">
        <v>1571</v>
      </c>
      <c r="F300" s="419">
        <v>43100</v>
      </c>
      <c r="G300" s="140">
        <v>4526.7970000000005</v>
      </c>
      <c r="H300" s="140">
        <v>21</v>
      </c>
      <c r="I300" s="140"/>
      <c r="J300" s="140">
        <v>-206.04400000000001</v>
      </c>
      <c r="K300" s="140">
        <v>802.32799999999997</v>
      </c>
      <c r="L300" s="140">
        <v>669.13499999999999</v>
      </c>
    </row>
    <row r="301" spans="1:12" ht="31.5">
      <c r="A301" s="138" t="s">
        <v>2135</v>
      </c>
      <c r="B301" s="135" t="s">
        <v>2138</v>
      </c>
      <c r="C301" s="136" t="s">
        <v>601</v>
      </c>
      <c r="D301" s="136" t="s">
        <v>596</v>
      </c>
      <c r="E301" s="138" t="s">
        <v>1571</v>
      </c>
      <c r="F301" s="420">
        <v>42735</v>
      </c>
      <c r="G301" s="141">
        <v>4496.9659600000005</v>
      </c>
      <c r="H301" s="141">
        <v>26</v>
      </c>
      <c r="I301" s="141">
        <v>13.490819999999999</v>
      </c>
      <c r="J301" s="141">
        <v>288.75297000000006</v>
      </c>
      <c r="K301" s="141">
        <v>1201.6314199999999</v>
      </c>
      <c r="L301" s="141">
        <v>1583.5482500000001</v>
      </c>
    </row>
    <row r="302" spans="1:12" ht="42">
      <c r="A302" s="136" t="s">
        <v>2137</v>
      </c>
      <c r="B302" s="137" t="s">
        <v>2140</v>
      </c>
      <c r="C302" s="138" t="s">
        <v>1484</v>
      </c>
      <c r="D302" s="138" t="s">
        <v>1474</v>
      </c>
      <c r="E302" s="136" t="s">
        <v>1571</v>
      </c>
      <c r="F302" s="419">
        <v>43100</v>
      </c>
      <c r="G302" s="140">
        <v>4434.1486489999998</v>
      </c>
      <c r="H302" s="140">
        <v>48</v>
      </c>
      <c r="I302" s="140">
        <v>11.137830000000001</v>
      </c>
      <c r="J302" s="140">
        <v>54.878850000000007</v>
      </c>
      <c r="K302" s="140">
        <v>2003.7472</v>
      </c>
      <c r="L302" s="140">
        <v>2161.8412699999999</v>
      </c>
    </row>
    <row r="303" spans="1:12" ht="52.5">
      <c r="A303" s="138" t="s">
        <v>2139</v>
      </c>
      <c r="B303" s="135" t="s">
        <v>2142</v>
      </c>
      <c r="C303" s="136" t="s">
        <v>1430</v>
      </c>
      <c r="D303" s="136" t="s">
        <v>1429</v>
      </c>
      <c r="E303" s="138" t="s">
        <v>1571</v>
      </c>
      <c r="F303" s="420">
        <v>43100</v>
      </c>
      <c r="G303" s="141">
        <v>4410.0899200000003</v>
      </c>
      <c r="H303" s="141">
        <v>7</v>
      </c>
      <c r="I303" s="142" t="s">
        <v>189</v>
      </c>
      <c r="J303" s="141">
        <v>5.7996100000000004</v>
      </c>
      <c r="K303" s="141">
        <v>179.21621000000002</v>
      </c>
      <c r="L303" s="141">
        <v>208.772099</v>
      </c>
    </row>
    <row r="304" spans="1:12">
      <c r="A304" s="136" t="s">
        <v>2141</v>
      </c>
      <c r="B304" s="137" t="s">
        <v>2144</v>
      </c>
      <c r="C304" s="138" t="s">
        <v>729</v>
      </c>
      <c r="D304" s="138" t="s">
        <v>726</v>
      </c>
      <c r="E304" s="136" t="s">
        <v>1571</v>
      </c>
      <c r="F304" s="419">
        <v>43100</v>
      </c>
      <c r="G304" s="140">
        <v>4401.9030300000004</v>
      </c>
      <c r="H304" s="140">
        <v>184</v>
      </c>
      <c r="I304" s="143" t="s">
        <v>189</v>
      </c>
      <c r="J304" s="140">
        <v>26.096109999999996</v>
      </c>
      <c r="K304" s="140">
        <v>4001.9995699999999</v>
      </c>
      <c r="L304" s="140">
        <v>4068.786889</v>
      </c>
    </row>
    <row r="305" spans="1:12" ht="42">
      <c r="A305" s="138" t="s">
        <v>2143</v>
      </c>
      <c r="B305" s="135" t="s">
        <v>2146</v>
      </c>
      <c r="C305" s="136" t="s">
        <v>593</v>
      </c>
      <c r="D305" s="136" t="s">
        <v>596</v>
      </c>
      <c r="E305" s="138" t="s">
        <v>1571</v>
      </c>
      <c r="F305" s="420">
        <v>43100</v>
      </c>
      <c r="G305" s="141">
        <v>4368.2888199999998</v>
      </c>
      <c r="H305" s="141">
        <v>39</v>
      </c>
      <c r="I305" s="142" t="s">
        <v>189</v>
      </c>
      <c r="J305" s="141">
        <v>74.458209999999994</v>
      </c>
      <c r="K305" s="141">
        <v>1493.6140700000001</v>
      </c>
      <c r="L305" s="141">
        <v>1780.44658</v>
      </c>
    </row>
    <row r="306" spans="1:12" ht="21">
      <c r="A306" s="136" t="s">
        <v>2145</v>
      </c>
      <c r="B306" s="137" t="s">
        <v>2148</v>
      </c>
      <c r="C306" s="138" t="s">
        <v>728</v>
      </c>
      <c r="D306" s="138" t="s">
        <v>726</v>
      </c>
      <c r="E306" s="136" t="s">
        <v>1571</v>
      </c>
      <c r="F306" s="419">
        <v>43100</v>
      </c>
      <c r="G306" s="140">
        <v>4326.68</v>
      </c>
      <c r="H306" s="140">
        <v>21</v>
      </c>
      <c r="I306" s="140">
        <v>68.472999999999999</v>
      </c>
      <c r="J306" s="140">
        <v>335.298</v>
      </c>
      <c r="K306" s="140">
        <v>903.197</v>
      </c>
      <c r="L306" s="140">
        <v>1402.9670000000001</v>
      </c>
    </row>
    <row r="307" spans="1:12" ht="42">
      <c r="A307" s="138" t="s">
        <v>2147</v>
      </c>
      <c r="B307" s="135" t="s">
        <v>2150</v>
      </c>
      <c r="C307" s="136" t="s">
        <v>1131</v>
      </c>
      <c r="D307" s="136" t="s">
        <v>1132</v>
      </c>
      <c r="E307" s="138" t="s">
        <v>1571</v>
      </c>
      <c r="F307" s="420">
        <v>43100</v>
      </c>
      <c r="G307" s="141">
        <v>4298.0361400000002</v>
      </c>
      <c r="H307" s="141">
        <v>8</v>
      </c>
      <c r="I307" s="141">
        <v>156.15817000000001</v>
      </c>
      <c r="J307" s="141">
        <v>529.13852000000009</v>
      </c>
      <c r="K307" s="141">
        <v>233.62297000000001</v>
      </c>
      <c r="L307" s="141">
        <v>920.47550000000001</v>
      </c>
    </row>
    <row r="308" spans="1:12" ht="31.5">
      <c r="A308" s="136" t="s">
        <v>2149</v>
      </c>
      <c r="B308" s="137" t="s">
        <v>2152</v>
      </c>
      <c r="C308" s="138" t="s">
        <v>1346</v>
      </c>
      <c r="D308" s="138" t="s">
        <v>1366</v>
      </c>
      <c r="E308" s="136" t="s">
        <v>1571</v>
      </c>
      <c r="F308" s="419">
        <v>43100</v>
      </c>
      <c r="G308" s="140">
        <v>4291.7116499999993</v>
      </c>
      <c r="H308" s="140">
        <v>52</v>
      </c>
      <c r="I308" s="140">
        <v>54.017330000000001</v>
      </c>
      <c r="J308" s="140">
        <v>182.87385999999998</v>
      </c>
      <c r="K308" s="140">
        <v>2151.9619200000002</v>
      </c>
      <c r="L308" s="140">
        <v>2683.98801</v>
      </c>
    </row>
    <row r="309" spans="1:12">
      <c r="A309" s="138" t="s">
        <v>2151</v>
      </c>
      <c r="B309" s="135" t="s">
        <v>2154</v>
      </c>
      <c r="C309" s="136" t="s">
        <v>1306</v>
      </c>
      <c r="D309" s="136" t="s">
        <v>969</v>
      </c>
      <c r="E309" s="138" t="s">
        <v>1571</v>
      </c>
      <c r="F309" s="420">
        <v>43100</v>
      </c>
      <c r="G309" s="141">
        <v>4248.7216199999993</v>
      </c>
      <c r="H309" s="141">
        <v>17</v>
      </c>
      <c r="I309" s="141"/>
      <c r="J309" s="141">
        <v>618.90822000000003</v>
      </c>
      <c r="K309" s="141">
        <v>1033.21967</v>
      </c>
      <c r="L309" s="141">
        <v>2225.9595800000002</v>
      </c>
    </row>
    <row r="310" spans="1:12">
      <c r="A310" s="136" t="s">
        <v>2153</v>
      </c>
      <c r="B310" s="137" t="s">
        <v>2156</v>
      </c>
      <c r="C310" s="138" t="s">
        <v>1134</v>
      </c>
      <c r="D310" s="138" t="s">
        <v>1135</v>
      </c>
      <c r="E310" s="136" t="s">
        <v>1571</v>
      </c>
      <c r="F310" s="419">
        <v>43100</v>
      </c>
      <c r="G310" s="140">
        <v>4204.2919680000005</v>
      </c>
      <c r="H310" s="140">
        <v>2</v>
      </c>
      <c r="I310" s="143" t="s">
        <v>189</v>
      </c>
      <c r="J310" s="140">
        <v>156.21722</v>
      </c>
      <c r="K310" s="140">
        <v>65.289590000000004</v>
      </c>
      <c r="L310" s="140">
        <v>257.02715000000001</v>
      </c>
    </row>
    <row r="311" spans="1:12" ht="63">
      <c r="A311" s="138" t="s">
        <v>2155</v>
      </c>
      <c r="B311" s="135" t="s">
        <v>2158</v>
      </c>
      <c r="C311" s="136" t="s">
        <v>1440</v>
      </c>
      <c r="D311" s="136" t="s">
        <v>969</v>
      </c>
      <c r="E311" s="138" t="s">
        <v>1571</v>
      </c>
      <c r="F311" s="420">
        <v>42735</v>
      </c>
      <c r="G311" s="141">
        <v>4192.1078600000001</v>
      </c>
      <c r="H311" s="141">
        <v>50</v>
      </c>
      <c r="I311" s="141">
        <v>128.77189999999999</v>
      </c>
      <c r="J311" s="141">
        <v>344.52113999999995</v>
      </c>
      <c r="K311" s="141">
        <v>1556.16434</v>
      </c>
      <c r="L311" s="141">
        <v>2062.50929</v>
      </c>
    </row>
    <row r="312" spans="1:12">
      <c r="A312" s="136" t="s">
        <v>2157</v>
      </c>
      <c r="B312" s="137" t="s">
        <v>2160</v>
      </c>
      <c r="C312" s="138" t="s">
        <v>1351</v>
      </c>
      <c r="D312" s="138" t="s">
        <v>1341</v>
      </c>
      <c r="E312" s="136" t="s">
        <v>1571</v>
      </c>
      <c r="F312" s="419">
        <v>43100</v>
      </c>
      <c r="G312" s="140">
        <v>4188.4225999999999</v>
      </c>
      <c r="H312" s="140">
        <v>12</v>
      </c>
      <c r="I312" s="140">
        <v>42.899029999999996</v>
      </c>
      <c r="J312" s="140">
        <v>135.84691999999998</v>
      </c>
      <c r="K312" s="140">
        <v>423.49743999999998</v>
      </c>
      <c r="L312" s="140">
        <v>621.452268</v>
      </c>
    </row>
    <row r="313" spans="1:12" ht="21">
      <c r="A313" s="138" t="s">
        <v>2159</v>
      </c>
      <c r="B313" s="135" t="s">
        <v>2162</v>
      </c>
      <c r="C313" s="136" t="s">
        <v>1359</v>
      </c>
      <c r="D313" s="136" t="s">
        <v>1343</v>
      </c>
      <c r="E313" s="138" t="s">
        <v>1571</v>
      </c>
      <c r="F313" s="420">
        <v>43100</v>
      </c>
      <c r="G313" s="141">
        <v>4186.73668</v>
      </c>
      <c r="H313" s="141">
        <v>12</v>
      </c>
      <c r="I313" s="141">
        <v>49.146510000000006</v>
      </c>
      <c r="J313" s="141">
        <v>160.70714000000001</v>
      </c>
      <c r="K313" s="141">
        <v>815.50727999999992</v>
      </c>
      <c r="L313" s="141">
        <v>1100.7321800000002</v>
      </c>
    </row>
    <row r="314" spans="1:12" ht="31.5">
      <c r="A314" s="136" t="s">
        <v>2161</v>
      </c>
      <c r="B314" s="137" t="s">
        <v>2164</v>
      </c>
      <c r="C314" s="138" t="s">
        <v>1505</v>
      </c>
      <c r="D314" s="138" t="s">
        <v>232</v>
      </c>
      <c r="E314" s="136" t="s">
        <v>1571</v>
      </c>
      <c r="F314" s="419">
        <v>43100</v>
      </c>
      <c r="G314" s="140">
        <v>4099.2858499999993</v>
      </c>
      <c r="H314" s="140">
        <v>41</v>
      </c>
      <c r="I314" s="140">
        <v>-141.50332999999998</v>
      </c>
      <c r="J314" s="140">
        <v>699.00188000000003</v>
      </c>
      <c r="K314" s="140">
        <v>1771.2548999999999</v>
      </c>
      <c r="L314" s="140">
        <v>2679.0061000000001</v>
      </c>
    </row>
    <row r="315" spans="1:12" ht="42">
      <c r="A315" s="138" t="s">
        <v>2163</v>
      </c>
      <c r="B315" s="135" t="s">
        <v>2166</v>
      </c>
      <c r="C315" s="136" t="s">
        <v>1159</v>
      </c>
      <c r="D315" s="136" t="s">
        <v>1156</v>
      </c>
      <c r="E315" s="138" t="s">
        <v>1571</v>
      </c>
      <c r="F315" s="420">
        <v>43100</v>
      </c>
      <c r="G315" s="141">
        <v>4096.4881189999996</v>
      </c>
      <c r="H315" s="141">
        <v>10</v>
      </c>
      <c r="I315" s="141">
        <v>47.956380000000003</v>
      </c>
      <c r="J315" s="141">
        <v>123.3164</v>
      </c>
      <c r="K315" s="141">
        <v>524.25837000000001</v>
      </c>
      <c r="L315" s="141">
        <v>697.20927999999992</v>
      </c>
    </row>
    <row r="316" spans="1:12">
      <c r="A316" s="136" t="s">
        <v>2165</v>
      </c>
      <c r="B316" s="137" t="s">
        <v>2168</v>
      </c>
      <c r="C316" s="138" t="s">
        <v>781</v>
      </c>
      <c r="D316" s="138" t="s">
        <v>782</v>
      </c>
      <c r="E316" s="136" t="s">
        <v>1571</v>
      </c>
      <c r="F316" s="419">
        <v>43100</v>
      </c>
      <c r="G316" s="140">
        <v>4092.9360699999997</v>
      </c>
      <c r="H316" s="140">
        <v>36</v>
      </c>
      <c r="I316" s="140"/>
      <c r="J316" s="140">
        <v>143.29311000000001</v>
      </c>
      <c r="K316" s="140">
        <v>1415.54223</v>
      </c>
      <c r="L316" s="140">
        <v>1855.2793800000002</v>
      </c>
    </row>
    <row r="317" spans="1:12" ht="21">
      <c r="A317" s="138" t="s">
        <v>2167</v>
      </c>
      <c r="B317" s="135" t="s">
        <v>2170</v>
      </c>
      <c r="C317" s="136" t="s">
        <v>630</v>
      </c>
      <c r="D317" s="136" t="s">
        <v>1825</v>
      </c>
      <c r="E317" s="138" t="s">
        <v>1571</v>
      </c>
      <c r="F317" s="420">
        <v>43100</v>
      </c>
      <c r="G317" s="141">
        <v>4087.8291800000002</v>
      </c>
      <c r="H317" s="141">
        <v>7</v>
      </c>
      <c r="I317" s="141">
        <v>133.93101000000001</v>
      </c>
      <c r="J317" s="141">
        <v>468.82208000000003</v>
      </c>
      <c r="K317" s="141">
        <v>446.25946000000005</v>
      </c>
      <c r="L317" s="141">
        <v>1070.0330100000001</v>
      </c>
    </row>
    <row r="318" spans="1:12" ht="21">
      <c r="A318" s="136" t="s">
        <v>2169</v>
      </c>
      <c r="B318" s="137" t="s">
        <v>2172</v>
      </c>
      <c r="C318" s="138" t="s">
        <v>912</v>
      </c>
      <c r="D318" s="138" t="s">
        <v>811</v>
      </c>
      <c r="E318" s="136" t="s">
        <v>1571</v>
      </c>
      <c r="F318" s="419">
        <v>43100</v>
      </c>
      <c r="G318" s="140">
        <v>4034.0891099999999</v>
      </c>
      <c r="H318" s="140">
        <v>4</v>
      </c>
      <c r="I318" s="140">
        <v>30.272570000000002</v>
      </c>
      <c r="J318" s="140">
        <v>115.76339</v>
      </c>
      <c r="K318" s="140">
        <v>90.693770000000001</v>
      </c>
      <c r="L318" s="140">
        <v>255.07756000000001</v>
      </c>
    </row>
    <row r="319" spans="1:12" ht="21">
      <c r="A319" s="138" t="s">
        <v>2171</v>
      </c>
      <c r="B319" s="135" t="s">
        <v>2174</v>
      </c>
      <c r="C319" s="136" t="s">
        <v>1050</v>
      </c>
      <c r="D319" s="136" t="s">
        <v>971</v>
      </c>
      <c r="E319" s="138" t="s">
        <v>1571</v>
      </c>
      <c r="F319" s="420">
        <v>43100</v>
      </c>
      <c r="G319" s="141">
        <v>4026.6190200000001</v>
      </c>
      <c r="H319" s="141">
        <v>30</v>
      </c>
      <c r="I319" s="142" t="s">
        <v>189</v>
      </c>
      <c r="J319" s="141">
        <v>19.998169999999998</v>
      </c>
      <c r="K319" s="141">
        <v>781.17266000000006</v>
      </c>
      <c r="L319" s="141">
        <v>875.61599999999999</v>
      </c>
    </row>
    <row r="320" spans="1:12" ht="31.5">
      <c r="A320" s="136" t="s">
        <v>2173</v>
      </c>
      <c r="B320" s="137" t="s">
        <v>2176</v>
      </c>
      <c r="C320" s="138" t="s">
        <v>1012</v>
      </c>
      <c r="D320" s="138" t="s">
        <v>1013</v>
      </c>
      <c r="E320" s="136" t="s">
        <v>1571</v>
      </c>
      <c r="F320" s="419">
        <v>42735</v>
      </c>
      <c r="G320" s="140">
        <v>4021.13958</v>
      </c>
      <c r="H320" s="140">
        <v>15</v>
      </c>
      <c r="I320" s="140">
        <v>15.60937</v>
      </c>
      <c r="J320" s="140">
        <v>44.048689999999993</v>
      </c>
      <c r="K320" s="140">
        <v>495.61675000000002</v>
      </c>
      <c r="L320" s="140">
        <v>596.04336000000012</v>
      </c>
    </row>
    <row r="321" spans="1:12">
      <c r="A321" s="138" t="s">
        <v>2175</v>
      </c>
      <c r="B321" s="135" t="s">
        <v>2178</v>
      </c>
      <c r="C321" s="136" t="s">
        <v>1051</v>
      </c>
      <c r="D321" s="136" t="s">
        <v>971</v>
      </c>
      <c r="E321" s="138" t="s">
        <v>1571</v>
      </c>
      <c r="F321" s="420">
        <v>42735</v>
      </c>
      <c r="G321" s="141">
        <v>4016.25819</v>
      </c>
      <c r="H321" s="141">
        <v>12</v>
      </c>
      <c r="I321" s="142" t="s">
        <v>189</v>
      </c>
      <c r="J321" s="141">
        <v>98.305689999999998</v>
      </c>
      <c r="K321" s="141">
        <v>265.69225</v>
      </c>
      <c r="L321" s="141">
        <v>398.52313999999996</v>
      </c>
    </row>
    <row r="322" spans="1:12">
      <c r="A322" s="136" t="s">
        <v>2177</v>
      </c>
      <c r="B322" s="137" t="s">
        <v>2180</v>
      </c>
      <c r="C322" s="138" t="s">
        <v>1097</v>
      </c>
      <c r="D322" s="138" t="s">
        <v>969</v>
      </c>
      <c r="E322" s="136" t="s">
        <v>1571</v>
      </c>
      <c r="F322" s="419">
        <v>43100</v>
      </c>
      <c r="G322" s="140">
        <v>3980.3029499999998</v>
      </c>
      <c r="H322" s="140">
        <v>8</v>
      </c>
      <c r="I322" s="140">
        <v>71.656800000000004</v>
      </c>
      <c r="J322" s="140">
        <v>254.91320000000002</v>
      </c>
      <c r="K322" s="140">
        <v>294.07514999999995</v>
      </c>
      <c r="L322" s="140">
        <v>633.13046999999995</v>
      </c>
    </row>
    <row r="323" spans="1:12" ht="42">
      <c r="A323" s="138" t="s">
        <v>2179</v>
      </c>
      <c r="B323" s="135" t="s">
        <v>2182</v>
      </c>
      <c r="C323" s="136" t="s">
        <v>1382</v>
      </c>
      <c r="D323" s="136" t="s">
        <v>1797</v>
      </c>
      <c r="E323" s="138" t="s">
        <v>1571</v>
      </c>
      <c r="F323" s="420">
        <v>43100</v>
      </c>
      <c r="G323" s="141">
        <v>3927.3558099999996</v>
      </c>
      <c r="H323" s="141">
        <v>22</v>
      </c>
      <c r="I323" s="141">
        <v>62.038950000000007</v>
      </c>
      <c r="J323" s="141">
        <v>296.98863</v>
      </c>
      <c r="K323" s="141">
        <v>998.57997</v>
      </c>
      <c r="L323" s="141">
        <v>1510.4154599999999</v>
      </c>
    </row>
    <row r="324" spans="1:12" ht="42">
      <c r="A324" s="136" t="s">
        <v>2181</v>
      </c>
      <c r="B324" s="137" t="s">
        <v>2184</v>
      </c>
      <c r="C324" s="138" t="s">
        <v>1057</v>
      </c>
      <c r="D324" s="138" t="s">
        <v>971</v>
      </c>
      <c r="E324" s="136" t="s">
        <v>1571</v>
      </c>
      <c r="F324" s="419">
        <v>43100</v>
      </c>
      <c r="G324" s="140">
        <v>3893.8222600000004</v>
      </c>
      <c r="H324" s="140">
        <v>3</v>
      </c>
      <c r="I324" s="140">
        <v>41.813420000000001</v>
      </c>
      <c r="J324" s="140">
        <v>175.96481999999997</v>
      </c>
      <c r="K324" s="140">
        <v>244.86769000000001</v>
      </c>
      <c r="L324" s="140">
        <v>463.33815999999996</v>
      </c>
    </row>
    <row r="325" spans="1:12" ht="21">
      <c r="A325" s="138" t="s">
        <v>2183</v>
      </c>
      <c r="B325" s="135" t="s">
        <v>2186</v>
      </c>
      <c r="C325" s="136" t="s">
        <v>1515</v>
      </c>
      <c r="D325" s="136" t="s">
        <v>1501</v>
      </c>
      <c r="E325" s="138" t="s">
        <v>1571</v>
      </c>
      <c r="F325" s="420">
        <v>43100</v>
      </c>
      <c r="G325" s="141">
        <v>3877.5011</v>
      </c>
      <c r="H325" s="141">
        <v>25</v>
      </c>
      <c r="I325" s="141">
        <v>46.383269999999996</v>
      </c>
      <c r="J325" s="141">
        <v>100.62019000000001</v>
      </c>
      <c r="K325" s="141">
        <v>924.04561999999999</v>
      </c>
      <c r="L325" s="141">
        <v>1089.8874900000001</v>
      </c>
    </row>
    <row r="326" spans="1:12" ht="31.5">
      <c r="A326" s="136" t="s">
        <v>2185</v>
      </c>
      <c r="B326" s="137" t="s">
        <v>2188</v>
      </c>
      <c r="C326" s="138" t="s">
        <v>758</v>
      </c>
      <c r="D326" s="138" t="s">
        <v>753</v>
      </c>
      <c r="E326" s="136" t="s">
        <v>1571</v>
      </c>
      <c r="F326" s="419">
        <v>43100</v>
      </c>
      <c r="G326" s="140">
        <v>3812.6496499999998</v>
      </c>
      <c r="H326" s="140">
        <v>27</v>
      </c>
      <c r="I326" s="140">
        <v>8.8925300000000007</v>
      </c>
      <c r="J326" s="140">
        <v>58.475099999999998</v>
      </c>
      <c r="K326" s="140">
        <v>762.66624999999999</v>
      </c>
      <c r="L326" s="140">
        <v>871.46563000000003</v>
      </c>
    </row>
    <row r="327" spans="1:12" ht="21">
      <c r="A327" s="138" t="s">
        <v>2187</v>
      </c>
      <c r="B327" s="135" t="s">
        <v>2190</v>
      </c>
      <c r="C327" s="136" t="s">
        <v>624</v>
      </c>
      <c r="D327" s="136" t="s">
        <v>596</v>
      </c>
      <c r="E327" s="138" t="s">
        <v>1571</v>
      </c>
      <c r="F327" s="420">
        <v>43100</v>
      </c>
      <c r="G327" s="141">
        <v>3805.2356600000003</v>
      </c>
      <c r="H327" s="141">
        <v>5</v>
      </c>
      <c r="I327" s="141">
        <v>127.48889</v>
      </c>
      <c r="J327" s="141">
        <v>403.0523</v>
      </c>
      <c r="K327" s="141">
        <v>315.95888000000002</v>
      </c>
      <c r="L327" s="141">
        <v>897.01492900000005</v>
      </c>
    </row>
    <row r="328" spans="1:12" ht="31.5">
      <c r="A328" s="136" t="s">
        <v>2189</v>
      </c>
      <c r="B328" s="137" t="s">
        <v>2192</v>
      </c>
      <c r="C328" s="138" t="s">
        <v>1257</v>
      </c>
      <c r="D328" s="138" t="s">
        <v>1251</v>
      </c>
      <c r="E328" s="136" t="s">
        <v>1571</v>
      </c>
      <c r="F328" s="419">
        <v>43100</v>
      </c>
      <c r="G328" s="140">
        <v>3797.4173599999999</v>
      </c>
      <c r="H328" s="140">
        <v>17</v>
      </c>
      <c r="I328" s="140">
        <v>61.481389999999998</v>
      </c>
      <c r="J328" s="140">
        <v>327.88731000000001</v>
      </c>
      <c r="K328" s="140">
        <v>671.32397000000003</v>
      </c>
      <c r="L328" s="140">
        <v>1195.1361000000002</v>
      </c>
    </row>
    <row r="329" spans="1:12" ht="21">
      <c r="A329" s="138" t="s">
        <v>2191</v>
      </c>
      <c r="B329" s="135" t="s">
        <v>2194</v>
      </c>
      <c r="C329" s="136" t="s">
        <v>834</v>
      </c>
      <c r="D329" s="136" t="s">
        <v>811</v>
      </c>
      <c r="E329" s="138" t="s">
        <v>1571</v>
      </c>
      <c r="F329" s="420">
        <v>43100</v>
      </c>
      <c r="G329" s="141">
        <v>3756.0044099999996</v>
      </c>
      <c r="H329" s="141">
        <v>33</v>
      </c>
      <c r="I329" s="141">
        <v>54.793500000000002</v>
      </c>
      <c r="J329" s="141">
        <v>240.68096</v>
      </c>
      <c r="K329" s="141">
        <v>1602.9083400000002</v>
      </c>
      <c r="L329" s="141">
        <v>2027.7403600000002</v>
      </c>
    </row>
    <row r="330" spans="1:12" ht="31.5">
      <c r="A330" s="136" t="s">
        <v>2193</v>
      </c>
      <c r="B330" s="137" t="s">
        <v>2196</v>
      </c>
      <c r="C330" s="138" t="s">
        <v>1122</v>
      </c>
      <c r="D330" s="138" t="s">
        <v>1112</v>
      </c>
      <c r="E330" s="136" t="s">
        <v>1571</v>
      </c>
      <c r="F330" s="419">
        <v>43100</v>
      </c>
      <c r="G330" s="140">
        <v>3752.4116899999999</v>
      </c>
      <c r="H330" s="140">
        <v>12</v>
      </c>
      <c r="I330" s="140">
        <v>22.685209999999998</v>
      </c>
      <c r="J330" s="140">
        <v>71.836500000000001</v>
      </c>
      <c r="K330" s="140">
        <v>671.93630000000007</v>
      </c>
      <c r="L330" s="140">
        <v>768.50446000000011</v>
      </c>
    </row>
    <row r="331" spans="1:12">
      <c r="A331" s="138" t="s">
        <v>2195</v>
      </c>
      <c r="B331" s="135" t="s">
        <v>2198</v>
      </c>
      <c r="C331" s="136" t="s">
        <v>677</v>
      </c>
      <c r="D331" s="136" t="s">
        <v>673</v>
      </c>
      <c r="E331" s="138" t="s">
        <v>1571</v>
      </c>
      <c r="F331" s="420">
        <v>43100</v>
      </c>
      <c r="G331" s="141">
        <v>3745.3306499999999</v>
      </c>
      <c r="H331" s="141">
        <v>11</v>
      </c>
      <c r="I331" s="141">
        <v>25.923549999999999</v>
      </c>
      <c r="J331" s="141">
        <v>137.45325</v>
      </c>
      <c r="K331" s="141">
        <v>445.12281999999999</v>
      </c>
      <c r="L331" s="141">
        <v>641.20366999999999</v>
      </c>
    </row>
    <row r="332" spans="1:12" ht="31.5">
      <c r="A332" s="136" t="s">
        <v>2197</v>
      </c>
      <c r="B332" s="137" t="s">
        <v>2200</v>
      </c>
      <c r="C332" s="138" t="s">
        <v>1212</v>
      </c>
      <c r="D332" s="138" t="s">
        <v>1208</v>
      </c>
      <c r="E332" s="136" t="s">
        <v>1571</v>
      </c>
      <c r="F332" s="419">
        <v>43100</v>
      </c>
      <c r="G332" s="140">
        <v>3730.72327</v>
      </c>
      <c r="H332" s="140">
        <v>14</v>
      </c>
      <c r="I332" s="140">
        <v>117.19306</v>
      </c>
      <c r="J332" s="140">
        <v>376.50196000000005</v>
      </c>
      <c r="K332" s="140">
        <v>473.32294000000002</v>
      </c>
      <c r="L332" s="140">
        <v>995.55424000000005</v>
      </c>
    </row>
    <row r="333" spans="1:12">
      <c r="A333" s="138" t="s">
        <v>2199</v>
      </c>
      <c r="B333" s="135" t="s">
        <v>2202</v>
      </c>
      <c r="C333" s="136" t="s">
        <v>1506</v>
      </c>
      <c r="D333" s="136" t="s">
        <v>1501</v>
      </c>
      <c r="E333" s="138" t="s">
        <v>1571</v>
      </c>
      <c r="F333" s="420">
        <v>43100</v>
      </c>
      <c r="G333" s="141">
        <v>3711.81765</v>
      </c>
      <c r="H333" s="141">
        <v>20</v>
      </c>
      <c r="I333" s="141">
        <v>26.207980000000003</v>
      </c>
      <c r="J333" s="141">
        <v>316.47000000000003</v>
      </c>
      <c r="K333" s="141">
        <v>865.22231000000011</v>
      </c>
      <c r="L333" s="141">
        <v>1421.2821680000002</v>
      </c>
    </row>
    <row r="334" spans="1:12" ht="31.5">
      <c r="A334" s="136" t="s">
        <v>2201</v>
      </c>
      <c r="B334" s="137" t="s">
        <v>2204</v>
      </c>
      <c r="C334" s="138" t="s">
        <v>1304</v>
      </c>
      <c r="D334" s="138" t="s">
        <v>1229</v>
      </c>
      <c r="E334" s="136" t="s">
        <v>1571</v>
      </c>
      <c r="F334" s="419">
        <v>43100</v>
      </c>
      <c r="G334" s="140">
        <v>3701.6892200000002</v>
      </c>
      <c r="H334" s="143" t="s">
        <v>189</v>
      </c>
      <c r="I334" s="140"/>
      <c r="J334" s="140">
        <v>54.602350000000008</v>
      </c>
      <c r="K334" s="140">
        <v>1326.9523600000002</v>
      </c>
      <c r="L334" s="140">
        <v>1418.93163</v>
      </c>
    </row>
    <row r="335" spans="1:12" ht="21">
      <c r="A335" s="138" t="s">
        <v>2203</v>
      </c>
      <c r="B335" s="135" t="s">
        <v>2206</v>
      </c>
      <c r="C335" s="136" t="s">
        <v>991</v>
      </c>
      <c r="D335" s="136" t="s">
        <v>975</v>
      </c>
      <c r="E335" s="138" t="s">
        <v>1571</v>
      </c>
      <c r="F335" s="420">
        <v>43100</v>
      </c>
      <c r="G335" s="141">
        <v>3660.7863099999995</v>
      </c>
      <c r="H335" s="141">
        <v>19</v>
      </c>
      <c r="I335" s="141">
        <v>187.49149</v>
      </c>
      <c r="J335" s="141">
        <v>571.72212000000002</v>
      </c>
      <c r="K335" s="141">
        <v>1094.18289</v>
      </c>
      <c r="L335" s="141">
        <v>1904.7532700000002</v>
      </c>
    </row>
    <row r="336" spans="1:12" ht="21">
      <c r="A336" s="136" t="s">
        <v>2205</v>
      </c>
      <c r="B336" s="137" t="s">
        <v>2208</v>
      </c>
      <c r="C336" s="138" t="s">
        <v>1261</v>
      </c>
      <c r="D336" s="138" t="s">
        <v>1251</v>
      </c>
      <c r="E336" s="136" t="s">
        <v>1571</v>
      </c>
      <c r="F336" s="419">
        <v>43100</v>
      </c>
      <c r="G336" s="140">
        <v>3656.55188</v>
      </c>
      <c r="H336" s="143" t="s">
        <v>189</v>
      </c>
      <c r="I336" s="140">
        <v>11.283569999999999</v>
      </c>
      <c r="J336" s="140">
        <v>316.2011</v>
      </c>
      <c r="K336" s="140">
        <v>654.61297000000002</v>
      </c>
      <c r="L336" s="140">
        <v>1058.26026</v>
      </c>
    </row>
    <row r="337" spans="1:12">
      <c r="A337" s="138" t="s">
        <v>2207</v>
      </c>
      <c r="B337" s="135" t="s">
        <v>2210</v>
      </c>
      <c r="C337" s="136" t="s">
        <v>672</v>
      </c>
      <c r="D337" s="136" t="s">
        <v>673</v>
      </c>
      <c r="E337" s="138" t="s">
        <v>1571</v>
      </c>
      <c r="F337" s="420">
        <v>43100</v>
      </c>
      <c r="G337" s="141">
        <v>3648.54855</v>
      </c>
      <c r="H337" s="141">
        <v>25</v>
      </c>
      <c r="I337" s="141">
        <v>24.26717</v>
      </c>
      <c r="J337" s="141">
        <v>159.55229</v>
      </c>
      <c r="K337" s="141">
        <v>1341.1173000000001</v>
      </c>
      <c r="L337" s="141">
        <v>1754.66272</v>
      </c>
    </row>
    <row r="338" spans="1:12" ht="21">
      <c r="A338" s="136" t="s">
        <v>2209</v>
      </c>
      <c r="B338" s="137" t="s">
        <v>2212</v>
      </c>
      <c r="C338" s="138" t="s">
        <v>1038</v>
      </c>
      <c r="D338" s="138" t="s">
        <v>971</v>
      </c>
      <c r="E338" s="136" t="s">
        <v>1571</v>
      </c>
      <c r="F338" s="419">
        <v>43100</v>
      </c>
      <c r="G338" s="140">
        <v>3646.7144400000002</v>
      </c>
      <c r="H338" s="140">
        <v>15</v>
      </c>
      <c r="I338" s="140">
        <v>16.762090000000001</v>
      </c>
      <c r="J338" s="140">
        <v>164.15418</v>
      </c>
      <c r="K338" s="140">
        <v>455.69239000000005</v>
      </c>
      <c r="L338" s="140">
        <v>703.26051000000007</v>
      </c>
    </row>
    <row r="339" spans="1:12">
      <c r="A339" s="138" t="s">
        <v>2211</v>
      </c>
      <c r="B339" s="135" t="s">
        <v>2214</v>
      </c>
      <c r="C339" s="136" t="s">
        <v>770</v>
      </c>
      <c r="D339" s="136" t="s">
        <v>753</v>
      </c>
      <c r="E339" s="138" t="s">
        <v>1571</v>
      </c>
      <c r="F339" s="420">
        <v>43100</v>
      </c>
      <c r="G339" s="141">
        <v>3623.3308899999997</v>
      </c>
      <c r="H339" s="141">
        <v>26</v>
      </c>
      <c r="I339" s="141">
        <v>1.13456</v>
      </c>
      <c r="J339" s="141">
        <v>8.1093600000000006</v>
      </c>
      <c r="K339" s="141">
        <v>873.72073999999998</v>
      </c>
      <c r="L339" s="141">
        <v>930.70494000000008</v>
      </c>
    </row>
    <row r="340" spans="1:12" ht="31.5">
      <c r="A340" s="136" t="s">
        <v>2213</v>
      </c>
      <c r="B340" s="137" t="s">
        <v>2216</v>
      </c>
      <c r="C340" s="138" t="s">
        <v>993</v>
      </c>
      <c r="D340" s="138" t="s">
        <v>975</v>
      </c>
      <c r="E340" s="136" t="s">
        <v>1571</v>
      </c>
      <c r="F340" s="419">
        <v>43100</v>
      </c>
      <c r="G340" s="140">
        <v>3578.4258499999996</v>
      </c>
      <c r="H340" s="140">
        <v>22</v>
      </c>
      <c r="I340" s="140">
        <v>9.5369899999999994</v>
      </c>
      <c r="J340" s="140">
        <v>142.19362000000001</v>
      </c>
      <c r="K340" s="140">
        <v>792.81663000000003</v>
      </c>
      <c r="L340" s="140">
        <v>1059.9510600000001</v>
      </c>
    </row>
    <row r="341" spans="1:12" ht="31.5">
      <c r="A341" s="138" t="s">
        <v>2215</v>
      </c>
      <c r="B341" s="135" t="s">
        <v>2218</v>
      </c>
      <c r="C341" s="136" t="s">
        <v>734</v>
      </c>
      <c r="D341" s="136" t="s">
        <v>668</v>
      </c>
      <c r="E341" s="138" t="s">
        <v>1571</v>
      </c>
      <c r="F341" s="420">
        <v>43100</v>
      </c>
      <c r="G341" s="141">
        <v>3566.0854800000002</v>
      </c>
      <c r="H341" s="141">
        <v>13</v>
      </c>
      <c r="I341" s="141">
        <v>20.933649999999997</v>
      </c>
      <c r="J341" s="141">
        <v>79.882140000000007</v>
      </c>
      <c r="K341" s="141">
        <v>567.13593000000003</v>
      </c>
      <c r="L341" s="141">
        <v>694.52940000000001</v>
      </c>
    </row>
    <row r="342" spans="1:12" ht="31.5">
      <c r="A342" s="136" t="s">
        <v>2217</v>
      </c>
      <c r="B342" s="137" t="s">
        <v>2220</v>
      </c>
      <c r="C342" s="138" t="s">
        <v>1074</v>
      </c>
      <c r="D342" s="138" t="s">
        <v>969</v>
      </c>
      <c r="E342" s="136" t="s">
        <v>1571</v>
      </c>
      <c r="F342" s="419">
        <v>43100</v>
      </c>
      <c r="G342" s="140">
        <v>3557.9110000000001</v>
      </c>
      <c r="H342" s="140">
        <v>12</v>
      </c>
      <c r="I342" s="140">
        <v>61.774910000000006</v>
      </c>
      <c r="J342" s="140">
        <v>301.15861000000001</v>
      </c>
      <c r="K342" s="140">
        <v>610.27164000000005</v>
      </c>
      <c r="L342" s="140">
        <v>1184.9531500000003</v>
      </c>
    </row>
    <row r="343" spans="1:12" ht="31.5">
      <c r="A343" s="138" t="s">
        <v>2219</v>
      </c>
      <c r="B343" s="135" t="s">
        <v>2222</v>
      </c>
      <c r="C343" s="136" t="s">
        <v>1058</v>
      </c>
      <c r="D343" s="136" t="s">
        <v>971</v>
      </c>
      <c r="E343" s="138" t="s">
        <v>1571</v>
      </c>
      <c r="F343" s="420">
        <v>43100</v>
      </c>
      <c r="G343" s="141">
        <v>3553.210889</v>
      </c>
      <c r="H343" s="141">
        <v>26</v>
      </c>
      <c r="I343" s="141">
        <v>63.990380000000009</v>
      </c>
      <c r="J343" s="141">
        <v>202.6362</v>
      </c>
      <c r="K343" s="141">
        <v>816.8769400000001</v>
      </c>
      <c r="L343" s="141">
        <v>1265.91292</v>
      </c>
    </row>
    <row r="344" spans="1:12" ht="42">
      <c r="A344" s="136" t="s">
        <v>2221</v>
      </c>
      <c r="B344" s="137" t="s">
        <v>2224</v>
      </c>
      <c r="C344" s="138" t="s">
        <v>1029</v>
      </c>
      <c r="D344" s="138" t="s">
        <v>1027</v>
      </c>
      <c r="E344" s="136" t="s">
        <v>1571</v>
      </c>
      <c r="F344" s="419">
        <v>43100</v>
      </c>
      <c r="G344" s="140">
        <v>3487.4078099999997</v>
      </c>
      <c r="H344" s="140">
        <v>15</v>
      </c>
      <c r="I344" s="140">
        <v>15.49042</v>
      </c>
      <c r="J344" s="140">
        <v>101.8612</v>
      </c>
      <c r="K344" s="140">
        <v>465.09923000000003</v>
      </c>
      <c r="L344" s="140">
        <v>631.35526000000004</v>
      </c>
    </row>
    <row r="345" spans="1:12">
      <c r="A345" s="138" t="s">
        <v>2223</v>
      </c>
      <c r="B345" s="135" t="s">
        <v>2226</v>
      </c>
      <c r="C345" s="136" t="s">
        <v>1426</v>
      </c>
      <c r="D345" s="136" t="s">
        <v>1419</v>
      </c>
      <c r="E345" s="138" t="s">
        <v>1571</v>
      </c>
      <c r="F345" s="420">
        <v>43100</v>
      </c>
      <c r="G345" s="141">
        <v>3453.6081990000002</v>
      </c>
      <c r="H345" s="141">
        <v>16</v>
      </c>
      <c r="I345" s="141">
        <v>97.245909999999995</v>
      </c>
      <c r="J345" s="141">
        <v>285.61705000000001</v>
      </c>
      <c r="K345" s="141">
        <v>645.90390000000002</v>
      </c>
      <c r="L345" s="141">
        <v>1106.3626900000002</v>
      </c>
    </row>
    <row r="346" spans="1:12" ht="21">
      <c r="A346" s="136" t="s">
        <v>2225</v>
      </c>
      <c r="B346" s="137" t="s">
        <v>2228</v>
      </c>
      <c r="C346" s="138" t="s">
        <v>848</v>
      </c>
      <c r="D346" s="138" t="s">
        <v>811</v>
      </c>
      <c r="E346" s="136" t="s">
        <v>1571</v>
      </c>
      <c r="F346" s="419">
        <v>43100</v>
      </c>
      <c r="G346" s="140">
        <v>3451.9573399999999</v>
      </c>
      <c r="H346" s="140">
        <v>17</v>
      </c>
      <c r="I346" s="140">
        <v>15.809660000000001</v>
      </c>
      <c r="J346" s="140">
        <v>63.617840000000008</v>
      </c>
      <c r="K346" s="140">
        <v>634.97348999999997</v>
      </c>
      <c r="L346" s="140">
        <v>759.32040000000006</v>
      </c>
    </row>
    <row r="347" spans="1:12" ht="73.5">
      <c r="A347" s="138" t="s">
        <v>2227</v>
      </c>
      <c r="B347" s="135" t="s">
        <v>2230</v>
      </c>
      <c r="C347" s="136" t="s">
        <v>597</v>
      </c>
      <c r="D347" s="136" t="s">
        <v>596</v>
      </c>
      <c r="E347" s="138" t="s">
        <v>1571</v>
      </c>
      <c r="F347" s="420">
        <v>43100</v>
      </c>
      <c r="G347" s="141">
        <v>3448.0428200000001</v>
      </c>
      <c r="H347" s="141">
        <v>26</v>
      </c>
      <c r="I347" s="141"/>
      <c r="J347" s="141">
        <v>-249.05019000000001</v>
      </c>
      <c r="K347" s="141">
        <v>977.24890000000005</v>
      </c>
      <c r="L347" s="141">
        <v>752.30610000000001</v>
      </c>
    </row>
    <row r="348" spans="1:12">
      <c r="A348" s="136" t="s">
        <v>2229</v>
      </c>
      <c r="B348" s="137" t="s">
        <v>2232</v>
      </c>
      <c r="C348" s="138" t="s">
        <v>1527</v>
      </c>
      <c r="D348" s="138" t="s">
        <v>1501</v>
      </c>
      <c r="E348" s="136" t="s">
        <v>1571</v>
      </c>
      <c r="F348" s="419">
        <v>43100</v>
      </c>
      <c r="G348" s="140">
        <v>3425.88213</v>
      </c>
      <c r="H348" s="140">
        <v>14</v>
      </c>
      <c r="I348" s="143" t="s">
        <v>189</v>
      </c>
      <c r="J348" s="140">
        <v>3.3998600000000003</v>
      </c>
      <c r="K348" s="140">
        <v>939.30887000000007</v>
      </c>
      <c r="L348" s="140">
        <v>968.58160999999996</v>
      </c>
    </row>
    <row r="349" spans="1:12" ht="21">
      <c r="A349" s="138" t="s">
        <v>2231</v>
      </c>
      <c r="B349" s="135" t="s">
        <v>2234</v>
      </c>
      <c r="C349" s="136" t="s">
        <v>981</v>
      </c>
      <c r="D349" s="136" t="s">
        <v>975</v>
      </c>
      <c r="E349" s="138" t="s">
        <v>1571</v>
      </c>
      <c r="F349" s="420">
        <v>42735</v>
      </c>
      <c r="G349" s="141">
        <v>3397.8389189999998</v>
      </c>
      <c r="H349" s="141">
        <v>94</v>
      </c>
      <c r="I349" s="141">
        <v>39.436680000000003</v>
      </c>
      <c r="J349" s="141">
        <v>108.40178</v>
      </c>
      <c r="K349" s="141">
        <v>523.73962000000006</v>
      </c>
      <c r="L349" s="141">
        <v>719.58775000000003</v>
      </c>
    </row>
    <row r="350" spans="1:12" ht="21">
      <c r="A350" s="136" t="s">
        <v>2233</v>
      </c>
      <c r="B350" s="139" t="s">
        <v>2236</v>
      </c>
      <c r="C350" s="138" t="s">
        <v>1547</v>
      </c>
      <c r="D350" s="138" t="s">
        <v>1451</v>
      </c>
      <c r="E350" s="136" t="s">
        <v>1571</v>
      </c>
      <c r="F350" s="419">
        <v>43100</v>
      </c>
      <c r="G350" s="140">
        <v>3365.2460000000001</v>
      </c>
      <c r="H350" s="140">
        <v>6</v>
      </c>
      <c r="I350" s="140">
        <v>1.17282</v>
      </c>
      <c r="J350" s="140">
        <v>4.935620000000001</v>
      </c>
      <c r="K350" s="140">
        <v>281.06779999999998</v>
      </c>
      <c r="L350" s="140">
        <v>291.87659000000002</v>
      </c>
    </row>
    <row r="351" spans="1:12" ht="31.5">
      <c r="A351" s="138" t="s">
        <v>2235</v>
      </c>
      <c r="B351" s="135" t="s">
        <v>2238</v>
      </c>
      <c r="C351" s="136" t="s">
        <v>1372</v>
      </c>
      <c r="D351" s="136" t="s">
        <v>1800</v>
      </c>
      <c r="E351" s="138" t="s">
        <v>1571</v>
      </c>
      <c r="F351" s="420">
        <v>41639</v>
      </c>
      <c r="G351" s="141">
        <v>3336.5465099999997</v>
      </c>
      <c r="H351" s="141">
        <v>18</v>
      </c>
      <c r="I351" s="141">
        <v>2.0309599999999999</v>
      </c>
      <c r="J351" s="141">
        <v>3.1662699999999999</v>
      </c>
      <c r="K351" s="141">
        <v>260.49907999999999</v>
      </c>
      <c r="L351" s="141">
        <v>279.61104</v>
      </c>
    </row>
    <row r="352" spans="1:12" ht="21">
      <c r="A352" s="136" t="s">
        <v>2237</v>
      </c>
      <c r="B352" s="137" t="s">
        <v>2240</v>
      </c>
      <c r="C352" s="138" t="s">
        <v>688</v>
      </c>
      <c r="D352" s="138" t="s">
        <v>689</v>
      </c>
      <c r="E352" s="136" t="s">
        <v>1571</v>
      </c>
      <c r="F352" s="419">
        <v>40543</v>
      </c>
      <c r="G352" s="140">
        <v>3323.71425</v>
      </c>
      <c r="H352" s="140">
        <v>10</v>
      </c>
      <c r="I352" s="140">
        <v>0.92808000000000002</v>
      </c>
      <c r="J352" s="140">
        <v>2.93892</v>
      </c>
      <c r="K352" s="140">
        <v>269.22552000000002</v>
      </c>
      <c r="L352" s="140">
        <v>285.18478000000005</v>
      </c>
    </row>
    <row r="353" spans="1:12">
      <c r="A353" s="138" t="s">
        <v>2239</v>
      </c>
      <c r="B353" s="135" t="s">
        <v>2242</v>
      </c>
      <c r="C353" s="136" t="s">
        <v>1540</v>
      </c>
      <c r="D353" s="136" t="s">
        <v>1279</v>
      </c>
      <c r="E353" s="138" t="s">
        <v>1571</v>
      </c>
      <c r="F353" s="420">
        <v>43100</v>
      </c>
      <c r="G353" s="141">
        <v>3322.7783399999998</v>
      </c>
      <c r="H353" s="141">
        <v>17</v>
      </c>
      <c r="I353" s="141"/>
      <c r="J353" s="141">
        <v>-124.67904</v>
      </c>
      <c r="K353" s="141">
        <v>1037.6406999999999</v>
      </c>
      <c r="L353" s="141">
        <v>1051.5693990000002</v>
      </c>
    </row>
    <row r="354" spans="1:12" ht="42">
      <c r="A354" s="136" t="s">
        <v>2241</v>
      </c>
      <c r="B354" s="137" t="s">
        <v>2244</v>
      </c>
      <c r="C354" s="138" t="s">
        <v>1071</v>
      </c>
      <c r="D354" s="138" t="s">
        <v>969</v>
      </c>
      <c r="E354" s="136" t="s">
        <v>1571</v>
      </c>
      <c r="F354" s="419">
        <v>43100</v>
      </c>
      <c r="G354" s="140">
        <v>3272.8937900000001</v>
      </c>
      <c r="H354" s="140">
        <v>15</v>
      </c>
      <c r="I354" s="140">
        <v>83.773750000000007</v>
      </c>
      <c r="J354" s="140">
        <v>295.66251</v>
      </c>
      <c r="K354" s="140">
        <v>595.94524999999999</v>
      </c>
      <c r="L354" s="140">
        <v>992.45817799999998</v>
      </c>
    </row>
    <row r="355" spans="1:12" ht="31.5">
      <c r="A355" s="138" t="s">
        <v>2243</v>
      </c>
      <c r="B355" s="135" t="s">
        <v>2246</v>
      </c>
      <c r="C355" s="136" t="s">
        <v>1126</v>
      </c>
      <c r="D355" s="136" t="s">
        <v>1112</v>
      </c>
      <c r="E355" s="138" t="s">
        <v>1571</v>
      </c>
      <c r="F355" s="420">
        <v>43100</v>
      </c>
      <c r="G355" s="141">
        <v>3175.3103499999997</v>
      </c>
      <c r="H355" s="141">
        <v>24</v>
      </c>
      <c r="I355" s="141"/>
      <c r="J355" s="141">
        <v>5.0041000000000002</v>
      </c>
      <c r="K355" s="141">
        <v>1010.0321600000001</v>
      </c>
      <c r="L355" s="141">
        <v>1189.25757</v>
      </c>
    </row>
    <row r="356" spans="1:12" ht="21">
      <c r="A356" s="136" t="s">
        <v>2245</v>
      </c>
      <c r="B356" s="137" t="s">
        <v>2248</v>
      </c>
      <c r="C356" s="138" t="s">
        <v>746</v>
      </c>
      <c r="D356" s="138" t="s">
        <v>747</v>
      </c>
      <c r="E356" s="136" t="s">
        <v>1571</v>
      </c>
      <c r="F356" s="419">
        <v>43100</v>
      </c>
      <c r="G356" s="140">
        <v>3173.9917190000001</v>
      </c>
      <c r="H356" s="140">
        <v>41</v>
      </c>
      <c r="I356" s="140">
        <v>50.679250000000003</v>
      </c>
      <c r="J356" s="140">
        <v>147.52319</v>
      </c>
      <c r="K356" s="140">
        <v>1351.5781600000003</v>
      </c>
      <c r="L356" s="140">
        <v>1600.6871890000002</v>
      </c>
    </row>
    <row r="357" spans="1:12" ht="21">
      <c r="A357" s="138" t="s">
        <v>2247</v>
      </c>
      <c r="B357" s="135" t="s">
        <v>2250</v>
      </c>
      <c r="C357" s="136" t="s">
        <v>1186</v>
      </c>
      <c r="D357" s="136" t="s">
        <v>1184</v>
      </c>
      <c r="E357" s="138" t="s">
        <v>1571</v>
      </c>
      <c r="F357" s="420">
        <v>43100</v>
      </c>
      <c r="G357" s="141">
        <v>3141.5455299999999</v>
      </c>
      <c r="H357" s="141">
        <v>25</v>
      </c>
      <c r="I357" s="142" t="s">
        <v>189</v>
      </c>
      <c r="J357" s="141">
        <v>-178.77294999999998</v>
      </c>
      <c r="K357" s="141">
        <v>926.70326</v>
      </c>
      <c r="L357" s="141">
        <v>947.84777999999994</v>
      </c>
    </row>
    <row r="358" spans="1:12" ht="42">
      <c r="A358" s="136" t="s">
        <v>2249</v>
      </c>
      <c r="B358" s="137" t="s">
        <v>2252</v>
      </c>
      <c r="C358" s="138" t="s">
        <v>755</v>
      </c>
      <c r="D358" s="138" t="s">
        <v>753</v>
      </c>
      <c r="E358" s="136" t="s">
        <v>1571</v>
      </c>
      <c r="F358" s="419">
        <v>43100</v>
      </c>
      <c r="G358" s="140">
        <v>3139.5959400000002</v>
      </c>
      <c r="H358" s="140">
        <v>17</v>
      </c>
      <c r="I358" s="140">
        <v>30.05134</v>
      </c>
      <c r="J358" s="140">
        <v>95.162570000000002</v>
      </c>
      <c r="K358" s="140">
        <v>679.10206999999991</v>
      </c>
      <c r="L358" s="140">
        <v>818.34471999999994</v>
      </c>
    </row>
    <row r="359" spans="1:12" ht="21">
      <c r="A359" s="138" t="s">
        <v>2251</v>
      </c>
      <c r="B359" s="135" t="s">
        <v>2254</v>
      </c>
      <c r="C359" s="136" t="s">
        <v>1534</v>
      </c>
      <c r="D359" s="136" t="s">
        <v>1279</v>
      </c>
      <c r="E359" s="138" t="s">
        <v>1571</v>
      </c>
      <c r="F359" s="420">
        <v>43100</v>
      </c>
      <c r="G359" s="141">
        <v>3122.9766300000001</v>
      </c>
      <c r="H359" s="141">
        <v>7</v>
      </c>
      <c r="I359" s="141">
        <v>56.828960000000002</v>
      </c>
      <c r="J359" s="141">
        <v>154.97187999999997</v>
      </c>
      <c r="K359" s="141">
        <v>583.62598000000003</v>
      </c>
      <c r="L359" s="141">
        <v>805.66911000000005</v>
      </c>
    </row>
    <row r="360" spans="1:12" ht="42">
      <c r="A360" s="136" t="s">
        <v>2253</v>
      </c>
      <c r="B360" s="137" t="s">
        <v>2256</v>
      </c>
      <c r="C360" s="138" t="s">
        <v>1119</v>
      </c>
      <c r="D360" s="138" t="s">
        <v>1112</v>
      </c>
      <c r="E360" s="136" t="s">
        <v>1571</v>
      </c>
      <c r="F360" s="419">
        <v>43100</v>
      </c>
      <c r="G360" s="140">
        <v>3104.4774699999998</v>
      </c>
      <c r="H360" s="140">
        <v>22</v>
      </c>
      <c r="I360" s="140">
        <v>15.838649999999999</v>
      </c>
      <c r="J360" s="140">
        <v>61.125840000000004</v>
      </c>
      <c r="K360" s="140">
        <v>850.07647999999995</v>
      </c>
      <c r="L360" s="140">
        <v>986.86857999999995</v>
      </c>
    </row>
    <row r="361" spans="1:12">
      <c r="A361" s="138" t="s">
        <v>2255</v>
      </c>
      <c r="B361" s="135" t="s">
        <v>2258</v>
      </c>
      <c r="C361" s="136" t="s">
        <v>1011</v>
      </c>
      <c r="D361" s="136" t="s">
        <v>987</v>
      </c>
      <c r="E361" s="138" t="s">
        <v>1571</v>
      </c>
      <c r="F361" s="420">
        <v>43100</v>
      </c>
      <c r="G361" s="141">
        <v>3083.7504290000002</v>
      </c>
      <c r="H361" s="141">
        <v>9</v>
      </c>
      <c r="I361" s="141"/>
      <c r="J361" s="141">
        <v>-139.40634</v>
      </c>
      <c r="K361" s="141">
        <v>383.45953000000003</v>
      </c>
      <c r="L361" s="141">
        <v>266.36507</v>
      </c>
    </row>
    <row r="362" spans="1:12" ht="52.5">
      <c r="A362" s="136" t="s">
        <v>2257</v>
      </c>
      <c r="B362" s="137" t="s">
        <v>2260</v>
      </c>
      <c r="C362" s="138" t="s">
        <v>1006</v>
      </c>
      <c r="D362" s="138" t="s">
        <v>975</v>
      </c>
      <c r="E362" s="136" t="s">
        <v>1571</v>
      </c>
      <c r="F362" s="419">
        <v>43100</v>
      </c>
      <c r="G362" s="140">
        <v>3065.1853699999997</v>
      </c>
      <c r="H362" s="140">
        <v>13</v>
      </c>
      <c r="I362" s="140">
        <v>5.7009999999999998E-2</v>
      </c>
      <c r="J362" s="140">
        <v>36.985729999999997</v>
      </c>
      <c r="K362" s="140">
        <v>398.18829000000005</v>
      </c>
      <c r="L362" s="140">
        <v>573.74473999999998</v>
      </c>
    </row>
    <row r="363" spans="1:12" ht="31.5">
      <c r="A363" s="138" t="s">
        <v>2259</v>
      </c>
      <c r="B363" s="135" t="s">
        <v>2262</v>
      </c>
      <c r="C363" s="136" t="s">
        <v>1565</v>
      </c>
      <c r="D363" s="136" t="s">
        <v>1564</v>
      </c>
      <c r="E363" s="138" t="s">
        <v>1571</v>
      </c>
      <c r="F363" s="420">
        <v>43100</v>
      </c>
      <c r="G363" s="141">
        <v>3041.8705500000001</v>
      </c>
      <c r="H363" s="141">
        <v>26</v>
      </c>
      <c r="I363" s="141">
        <v>6.4679799999999998</v>
      </c>
      <c r="J363" s="141">
        <v>12.599740000000002</v>
      </c>
      <c r="K363" s="141">
        <v>1031.97631</v>
      </c>
      <c r="L363" s="141">
        <v>1214.5967600000001</v>
      </c>
    </row>
    <row r="364" spans="1:12" ht="21">
      <c r="A364" s="136" t="s">
        <v>2261</v>
      </c>
      <c r="B364" s="137" t="s">
        <v>2264</v>
      </c>
      <c r="C364" s="138" t="s">
        <v>748</v>
      </c>
      <c r="D364" s="138" t="s">
        <v>747</v>
      </c>
      <c r="E364" s="136" t="s">
        <v>1571</v>
      </c>
      <c r="F364" s="419">
        <v>43100</v>
      </c>
      <c r="G364" s="140">
        <v>3041.4972700000003</v>
      </c>
      <c r="H364" s="140">
        <v>23</v>
      </c>
      <c r="I364" s="140">
        <v>6.5120800000000001</v>
      </c>
      <c r="J364" s="140">
        <v>20.621599999999997</v>
      </c>
      <c r="K364" s="140">
        <v>742.14509999999996</v>
      </c>
      <c r="L364" s="140">
        <v>894.40242000000001</v>
      </c>
    </row>
    <row r="365" spans="1:12" ht="21">
      <c r="A365" s="138" t="s">
        <v>2263</v>
      </c>
      <c r="B365" s="135" t="s">
        <v>2266</v>
      </c>
      <c r="C365" s="136" t="s">
        <v>1165</v>
      </c>
      <c r="D365" s="136" t="s">
        <v>1145</v>
      </c>
      <c r="E365" s="138" t="s">
        <v>1571</v>
      </c>
      <c r="F365" s="420">
        <v>43100</v>
      </c>
      <c r="G365" s="141">
        <v>3041.4001200000002</v>
      </c>
      <c r="H365" s="141">
        <v>18</v>
      </c>
      <c r="I365" s="141">
        <v>1.34507</v>
      </c>
      <c r="J365" s="141">
        <v>17.875040000000002</v>
      </c>
      <c r="K365" s="141">
        <v>1093.1506600000002</v>
      </c>
      <c r="L365" s="141">
        <v>1227.92002</v>
      </c>
    </row>
    <row r="366" spans="1:12" ht="42">
      <c r="A366" s="136" t="s">
        <v>2265</v>
      </c>
      <c r="B366" s="137" t="s">
        <v>2268</v>
      </c>
      <c r="C366" s="138" t="s">
        <v>1154</v>
      </c>
      <c r="D366" s="138" t="s">
        <v>2269</v>
      </c>
      <c r="E366" s="136" t="s">
        <v>1571</v>
      </c>
      <c r="F366" s="419">
        <v>43100</v>
      </c>
      <c r="G366" s="140">
        <v>3029.598</v>
      </c>
      <c r="H366" s="140">
        <v>33</v>
      </c>
      <c r="I366" s="140">
        <v>289.85146000000003</v>
      </c>
      <c r="J366" s="140">
        <v>935.67766999999992</v>
      </c>
      <c r="K366" s="140">
        <v>940.6961</v>
      </c>
      <c r="L366" s="140">
        <v>2362.3282999999997</v>
      </c>
    </row>
    <row r="367" spans="1:12" ht="31.5">
      <c r="A367" s="138" t="s">
        <v>2267</v>
      </c>
      <c r="B367" s="135" t="s">
        <v>2271</v>
      </c>
      <c r="C367" s="136" t="s">
        <v>850</v>
      </c>
      <c r="D367" s="136" t="s">
        <v>811</v>
      </c>
      <c r="E367" s="138" t="s">
        <v>1571</v>
      </c>
      <c r="F367" s="420">
        <v>43100</v>
      </c>
      <c r="G367" s="141">
        <v>3000.9441099999999</v>
      </c>
      <c r="H367" s="141">
        <v>13</v>
      </c>
      <c r="I367" s="141">
        <v>159.56244999999998</v>
      </c>
      <c r="J367" s="141">
        <v>525.69756900000004</v>
      </c>
      <c r="K367" s="141">
        <v>652.75821999999994</v>
      </c>
      <c r="L367" s="141">
        <v>1404.861969</v>
      </c>
    </row>
    <row r="368" spans="1:12">
      <c r="A368" s="136" t="s">
        <v>2270</v>
      </c>
      <c r="B368" s="137" t="s">
        <v>2273</v>
      </c>
      <c r="C368" s="138" t="s">
        <v>599</v>
      </c>
      <c r="D368" s="138" t="s">
        <v>596</v>
      </c>
      <c r="E368" s="136" t="s">
        <v>1571</v>
      </c>
      <c r="F368" s="419">
        <v>43100</v>
      </c>
      <c r="G368" s="140">
        <v>2993.7925499999997</v>
      </c>
      <c r="H368" s="140">
        <v>28</v>
      </c>
      <c r="I368" s="140"/>
      <c r="J368" s="140">
        <v>18.548260000000003</v>
      </c>
      <c r="K368" s="140">
        <v>916.46950000000004</v>
      </c>
      <c r="L368" s="140">
        <v>1140.2226300000002</v>
      </c>
    </row>
    <row r="369" spans="1:12">
      <c r="A369" s="138" t="s">
        <v>2272</v>
      </c>
      <c r="B369" s="135" t="s">
        <v>2275</v>
      </c>
      <c r="C369" s="136" t="s">
        <v>639</v>
      </c>
      <c r="D369" s="136" t="s">
        <v>1972</v>
      </c>
      <c r="E369" s="138" t="s">
        <v>1571</v>
      </c>
      <c r="F369" s="420">
        <v>43100</v>
      </c>
      <c r="G369" s="141">
        <v>2964.7715400000002</v>
      </c>
      <c r="H369" s="141">
        <v>8</v>
      </c>
      <c r="I369" s="141">
        <v>179.66904000000002</v>
      </c>
      <c r="J369" s="141">
        <v>533.90919899999994</v>
      </c>
      <c r="K369" s="141">
        <v>310.01116999999999</v>
      </c>
      <c r="L369" s="141">
        <v>1168.6392679999999</v>
      </c>
    </row>
    <row r="370" spans="1:12" ht="21">
      <c r="A370" s="136" t="s">
        <v>2274</v>
      </c>
      <c r="B370" s="137" t="s">
        <v>2277</v>
      </c>
      <c r="C370" s="138" t="s">
        <v>1542</v>
      </c>
      <c r="D370" s="138" t="s">
        <v>1279</v>
      </c>
      <c r="E370" s="136" t="s">
        <v>1571</v>
      </c>
      <c r="F370" s="419">
        <v>43100</v>
      </c>
      <c r="G370" s="140">
        <v>2954.3040000000001</v>
      </c>
      <c r="H370" s="140">
        <v>31</v>
      </c>
      <c r="I370" s="140"/>
      <c r="J370" s="140">
        <v>-2.4356399999999998</v>
      </c>
      <c r="K370" s="140">
        <v>1154.8554099999999</v>
      </c>
      <c r="L370" s="140">
        <v>1320.8125590000002</v>
      </c>
    </row>
    <row r="371" spans="1:12">
      <c r="A371" s="138" t="s">
        <v>2276</v>
      </c>
      <c r="B371" s="135" t="s">
        <v>2279</v>
      </c>
      <c r="C371" s="136" t="s">
        <v>1270</v>
      </c>
      <c r="D371" s="136" t="s">
        <v>1501</v>
      </c>
      <c r="E371" s="138" t="s">
        <v>1571</v>
      </c>
      <c r="F371" s="420">
        <v>43100</v>
      </c>
      <c r="G371" s="141">
        <v>2950.2234600000002</v>
      </c>
      <c r="H371" s="141">
        <v>13</v>
      </c>
      <c r="I371" s="141">
        <v>16.384229999999999</v>
      </c>
      <c r="J371" s="141">
        <v>22.841709999999999</v>
      </c>
      <c r="K371" s="141">
        <v>572.07580000000007</v>
      </c>
      <c r="L371" s="141">
        <v>633.00078999999994</v>
      </c>
    </row>
    <row r="372" spans="1:12" ht="21">
      <c r="A372" s="136" t="s">
        <v>2278</v>
      </c>
      <c r="B372" s="137" t="s">
        <v>2281</v>
      </c>
      <c r="C372" s="138" t="s">
        <v>1239</v>
      </c>
      <c r="D372" s="138" t="s">
        <v>1235</v>
      </c>
      <c r="E372" s="136" t="s">
        <v>1571</v>
      </c>
      <c r="F372" s="419">
        <v>43100</v>
      </c>
      <c r="G372" s="140">
        <v>2919.1762699999999</v>
      </c>
      <c r="H372" s="140">
        <v>5</v>
      </c>
      <c r="I372" s="140"/>
      <c r="J372" s="140">
        <v>-214.08627000000001</v>
      </c>
      <c r="K372" s="140">
        <v>221.42908</v>
      </c>
      <c r="L372" s="140">
        <v>-38.138410000000007</v>
      </c>
    </row>
    <row r="373" spans="1:12" ht="31.5">
      <c r="A373" s="138" t="s">
        <v>2280</v>
      </c>
      <c r="B373" s="135" t="s">
        <v>2283</v>
      </c>
      <c r="C373" s="136" t="s">
        <v>806</v>
      </c>
      <c r="D373" s="136" t="s">
        <v>800</v>
      </c>
      <c r="E373" s="138" t="s">
        <v>1571</v>
      </c>
      <c r="F373" s="420">
        <v>43100</v>
      </c>
      <c r="G373" s="141">
        <v>2898.8754199999998</v>
      </c>
      <c r="H373" s="141">
        <v>20</v>
      </c>
      <c r="I373" s="141">
        <v>40.472589999999997</v>
      </c>
      <c r="J373" s="141">
        <v>189.51320000000001</v>
      </c>
      <c r="K373" s="141">
        <v>1175.9456600000001</v>
      </c>
      <c r="L373" s="141">
        <v>1563.7673390000002</v>
      </c>
    </row>
    <row r="374" spans="1:12" ht="21">
      <c r="A374" s="136" t="s">
        <v>2282</v>
      </c>
      <c r="B374" s="139" t="s">
        <v>2285</v>
      </c>
      <c r="C374" s="138" t="s">
        <v>893</v>
      </c>
      <c r="D374" s="138" t="s">
        <v>1456</v>
      </c>
      <c r="E374" s="136" t="s">
        <v>1571</v>
      </c>
      <c r="F374" s="419">
        <v>43100</v>
      </c>
      <c r="G374" s="140">
        <v>2884.9278899999999</v>
      </c>
      <c r="H374" s="140">
        <v>5</v>
      </c>
      <c r="I374" s="140">
        <v>64.955709999999996</v>
      </c>
      <c r="J374" s="140">
        <v>273.3553</v>
      </c>
      <c r="K374" s="140">
        <v>260.20330000000001</v>
      </c>
      <c r="L374" s="140">
        <v>614.23404000000005</v>
      </c>
    </row>
    <row r="375" spans="1:12" ht="52.5">
      <c r="A375" s="138" t="s">
        <v>2284</v>
      </c>
      <c r="B375" s="135" t="s">
        <v>2287</v>
      </c>
      <c r="C375" s="136" t="s">
        <v>640</v>
      </c>
      <c r="D375" s="136" t="s">
        <v>641</v>
      </c>
      <c r="E375" s="138" t="s">
        <v>1571</v>
      </c>
      <c r="F375" s="420">
        <v>39447</v>
      </c>
      <c r="G375" s="141">
        <v>2839.5812099999998</v>
      </c>
      <c r="H375" s="141">
        <v>34</v>
      </c>
      <c r="I375" s="141">
        <v>49.129899999999999</v>
      </c>
      <c r="J375" s="141">
        <v>575.20202000000006</v>
      </c>
      <c r="K375" s="141">
        <v>988.7520300000001</v>
      </c>
      <c r="L375" s="141">
        <v>1915.6376600000001</v>
      </c>
    </row>
    <row r="376" spans="1:12" ht="31.5">
      <c r="A376" s="136" t="s">
        <v>2286</v>
      </c>
      <c r="B376" s="137" t="s">
        <v>2289</v>
      </c>
      <c r="C376" s="138" t="s">
        <v>620</v>
      </c>
      <c r="D376" s="138" t="s">
        <v>596</v>
      </c>
      <c r="E376" s="136" t="s">
        <v>1571</v>
      </c>
      <c r="F376" s="419">
        <v>43100</v>
      </c>
      <c r="G376" s="140">
        <v>2830.0220199999999</v>
      </c>
      <c r="H376" s="140">
        <v>18</v>
      </c>
      <c r="I376" s="143" t="s">
        <v>189</v>
      </c>
      <c r="J376" s="140">
        <v>-49.775650000000006</v>
      </c>
      <c r="K376" s="140">
        <v>436.60134999999997</v>
      </c>
      <c r="L376" s="140">
        <v>441.19897000000003</v>
      </c>
    </row>
    <row r="377" spans="1:12" ht="31.5">
      <c r="A377" s="138" t="s">
        <v>2288</v>
      </c>
      <c r="B377" s="135" t="s">
        <v>2291</v>
      </c>
      <c r="C377" s="136" t="s">
        <v>1477</v>
      </c>
      <c r="D377" s="136" t="s">
        <v>1474</v>
      </c>
      <c r="E377" s="138" t="s">
        <v>1571</v>
      </c>
      <c r="F377" s="420">
        <v>43100</v>
      </c>
      <c r="G377" s="141">
        <v>2824.5048099999995</v>
      </c>
      <c r="H377" s="141">
        <v>10</v>
      </c>
      <c r="I377" s="141">
        <v>38.658550000000005</v>
      </c>
      <c r="J377" s="141">
        <v>245.94104999999999</v>
      </c>
      <c r="K377" s="141">
        <v>367.15161999999998</v>
      </c>
      <c r="L377" s="141">
        <v>885.08704</v>
      </c>
    </row>
    <row r="378" spans="1:12" ht="21">
      <c r="A378" s="136" t="s">
        <v>2290</v>
      </c>
      <c r="B378" s="137" t="s">
        <v>2293</v>
      </c>
      <c r="C378" s="138" t="s">
        <v>976</v>
      </c>
      <c r="D378" s="138" t="s">
        <v>975</v>
      </c>
      <c r="E378" s="136" t="s">
        <v>1571</v>
      </c>
      <c r="F378" s="419">
        <v>43100</v>
      </c>
      <c r="G378" s="140">
        <v>2820.8434099999999</v>
      </c>
      <c r="H378" s="140">
        <v>45</v>
      </c>
      <c r="I378" s="140">
        <v>53.652270000000001</v>
      </c>
      <c r="J378" s="140">
        <v>215.9966</v>
      </c>
      <c r="K378" s="140">
        <v>1467.3070600000001</v>
      </c>
      <c r="L378" s="140">
        <v>1768.3857600000001</v>
      </c>
    </row>
    <row r="379" spans="1:12">
      <c r="A379" s="138" t="s">
        <v>2292</v>
      </c>
      <c r="B379" s="135" t="s">
        <v>2295</v>
      </c>
      <c r="C379" s="136" t="s">
        <v>1206</v>
      </c>
      <c r="D379" s="136" t="s">
        <v>1203</v>
      </c>
      <c r="E379" s="138" t="s">
        <v>1571</v>
      </c>
      <c r="F379" s="420">
        <v>43100</v>
      </c>
      <c r="G379" s="141">
        <v>2803.2441400000002</v>
      </c>
      <c r="H379" s="141">
        <v>51</v>
      </c>
      <c r="I379" s="141">
        <v>19.701409999999999</v>
      </c>
      <c r="J379" s="141">
        <v>84.700100000000006</v>
      </c>
      <c r="K379" s="141">
        <v>1120.2885900000001</v>
      </c>
      <c r="L379" s="141">
        <v>1269.7320099999999</v>
      </c>
    </row>
    <row r="380" spans="1:12">
      <c r="A380" s="136" t="s">
        <v>2294</v>
      </c>
      <c r="B380" s="137" t="s">
        <v>2297</v>
      </c>
      <c r="C380" s="138" t="s">
        <v>838</v>
      </c>
      <c r="D380" s="138" t="s">
        <v>811</v>
      </c>
      <c r="E380" s="136" t="s">
        <v>1571</v>
      </c>
      <c r="F380" s="419">
        <v>43100</v>
      </c>
      <c r="G380" s="140">
        <v>2802.5724099999998</v>
      </c>
      <c r="H380" s="140">
        <v>6</v>
      </c>
      <c r="I380" s="140">
        <v>36.902320000000003</v>
      </c>
      <c r="J380" s="140">
        <v>155.29729</v>
      </c>
      <c r="K380" s="140">
        <v>407.37893000000008</v>
      </c>
      <c r="L380" s="140">
        <v>619.6006799999999</v>
      </c>
    </row>
    <row r="381" spans="1:12" ht="42">
      <c r="A381" s="138" t="s">
        <v>2296</v>
      </c>
      <c r="B381" s="135" t="s">
        <v>2299</v>
      </c>
      <c r="C381" s="136" t="s">
        <v>1276</v>
      </c>
      <c r="D381" s="136" t="s">
        <v>1266</v>
      </c>
      <c r="E381" s="138" t="s">
        <v>1571</v>
      </c>
      <c r="F381" s="420">
        <v>43100</v>
      </c>
      <c r="G381" s="141">
        <v>2800.09195</v>
      </c>
      <c r="H381" s="141">
        <v>46</v>
      </c>
      <c r="I381" s="141">
        <v>4.5677699999999994</v>
      </c>
      <c r="J381" s="141">
        <v>11.70091</v>
      </c>
      <c r="K381" s="141">
        <v>2199.2626800000003</v>
      </c>
      <c r="L381" s="141">
        <v>2223.4991099999997</v>
      </c>
    </row>
    <row r="382" spans="1:12">
      <c r="A382" s="136" t="s">
        <v>2298</v>
      </c>
      <c r="B382" s="137" t="s">
        <v>2301</v>
      </c>
      <c r="C382" s="138" t="s">
        <v>669</v>
      </c>
      <c r="D382" s="138" t="s">
        <v>668</v>
      </c>
      <c r="E382" s="136" t="s">
        <v>1571</v>
      </c>
      <c r="F382" s="419">
        <v>43100</v>
      </c>
      <c r="G382" s="140">
        <v>2745.0123199999998</v>
      </c>
      <c r="H382" s="140">
        <v>3</v>
      </c>
      <c r="I382" s="140">
        <v>4.6323400000000001</v>
      </c>
      <c r="J382" s="140">
        <v>16.586867000000002</v>
      </c>
      <c r="K382" s="140">
        <v>141.41737000000001</v>
      </c>
      <c r="L382" s="140">
        <v>164.23269700000003</v>
      </c>
    </row>
    <row r="383" spans="1:12" ht="42">
      <c r="A383" s="138" t="s">
        <v>2300</v>
      </c>
      <c r="B383" s="135" t="s">
        <v>2303</v>
      </c>
      <c r="C383" s="136" t="s">
        <v>662</v>
      </c>
      <c r="D383" s="136" t="s">
        <v>1595</v>
      </c>
      <c r="E383" s="138" t="s">
        <v>1571</v>
      </c>
      <c r="F383" s="420">
        <v>43100</v>
      </c>
      <c r="G383" s="141">
        <v>2719.356139</v>
      </c>
      <c r="H383" s="141">
        <v>19</v>
      </c>
      <c r="I383" s="141">
        <v>34.631010000000003</v>
      </c>
      <c r="J383" s="141">
        <v>125.69772</v>
      </c>
      <c r="K383" s="141">
        <v>536.10307899999987</v>
      </c>
      <c r="L383" s="141">
        <v>749.46112900000003</v>
      </c>
    </row>
    <row r="384" spans="1:12" ht="31.5">
      <c r="A384" s="136" t="s">
        <v>2302</v>
      </c>
      <c r="B384" s="137" t="s">
        <v>2305</v>
      </c>
      <c r="C384" s="138" t="s">
        <v>1284</v>
      </c>
      <c r="D384" s="138" t="s">
        <v>1266</v>
      </c>
      <c r="E384" s="136" t="s">
        <v>1571</v>
      </c>
      <c r="F384" s="419">
        <v>43100</v>
      </c>
      <c r="G384" s="140">
        <v>2701.8189090000001</v>
      </c>
      <c r="H384" s="140">
        <v>8</v>
      </c>
      <c r="I384" s="140">
        <v>147.80280999999999</v>
      </c>
      <c r="J384" s="140">
        <v>457.05703000000005</v>
      </c>
      <c r="K384" s="140">
        <v>487.99539000000004</v>
      </c>
      <c r="L384" s="140">
        <v>1100.8471190000002</v>
      </c>
    </row>
    <row r="385" spans="1:12">
      <c r="A385" s="138" t="s">
        <v>2304</v>
      </c>
      <c r="B385" s="135" t="s">
        <v>2307</v>
      </c>
      <c r="C385" s="136" t="s">
        <v>1563</v>
      </c>
      <c r="D385" s="136" t="s">
        <v>1279</v>
      </c>
      <c r="E385" s="138" t="s">
        <v>1571</v>
      </c>
      <c r="F385" s="420">
        <v>43100</v>
      </c>
      <c r="G385" s="141">
        <v>2690.3277800000005</v>
      </c>
      <c r="H385" s="141">
        <v>22</v>
      </c>
      <c r="I385" s="142" t="s">
        <v>189</v>
      </c>
      <c r="J385" s="141">
        <v>32.329960000000007</v>
      </c>
      <c r="K385" s="141">
        <v>939.60291000000007</v>
      </c>
      <c r="L385" s="141">
        <v>1166.0286800000001</v>
      </c>
    </row>
    <row r="386" spans="1:12" ht="21">
      <c r="A386" s="136" t="s">
        <v>2306</v>
      </c>
      <c r="B386" s="139" t="s">
        <v>2309</v>
      </c>
      <c r="C386" s="138" t="s">
        <v>863</v>
      </c>
      <c r="D386" s="138" t="s">
        <v>811</v>
      </c>
      <c r="E386" s="136" t="s">
        <v>1571</v>
      </c>
      <c r="F386" s="419">
        <v>43100</v>
      </c>
      <c r="G386" s="140">
        <v>2681.1355800000001</v>
      </c>
      <c r="H386" s="140">
        <v>15</v>
      </c>
      <c r="I386" s="140">
        <v>0.24905000000000002</v>
      </c>
      <c r="J386" s="140">
        <v>12.92282</v>
      </c>
      <c r="K386" s="140">
        <v>441.31403999999998</v>
      </c>
      <c r="L386" s="140">
        <v>468.66622000000007</v>
      </c>
    </row>
    <row r="387" spans="1:12" ht="21">
      <c r="A387" s="138" t="s">
        <v>2308</v>
      </c>
      <c r="B387" s="135" t="s">
        <v>2311</v>
      </c>
      <c r="C387" s="136" t="s">
        <v>1205</v>
      </c>
      <c r="D387" s="136" t="s">
        <v>1203</v>
      </c>
      <c r="E387" s="138" t="s">
        <v>1571</v>
      </c>
      <c r="F387" s="420">
        <v>40543</v>
      </c>
      <c r="G387" s="141">
        <v>2661.5388399999997</v>
      </c>
      <c r="H387" s="141">
        <v>49</v>
      </c>
      <c r="I387" s="142" t="s">
        <v>189</v>
      </c>
      <c r="J387" s="141">
        <v>-143.92591000000002</v>
      </c>
      <c r="K387" s="141">
        <v>1373.1904500000001</v>
      </c>
      <c r="L387" s="141">
        <v>1317.5908300000001</v>
      </c>
    </row>
    <row r="388" spans="1:12" ht="21">
      <c r="A388" s="136" t="s">
        <v>2310</v>
      </c>
      <c r="B388" s="137" t="s">
        <v>2313</v>
      </c>
      <c r="C388" s="138" t="s">
        <v>614</v>
      </c>
      <c r="D388" s="138" t="s">
        <v>596</v>
      </c>
      <c r="E388" s="136" t="s">
        <v>1571</v>
      </c>
      <c r="F388" s="419">
        <v>43100</v>
      </c>
      <c r="G388" s="140">
        <v>2659.6331800000003</v>
      </c>
      <c r="H388" s="140">
        <v>26</v>
      </c>
      <c r="I388" s="140">
        <v>6.8880699999999999</v>
      </c>
      <c r="J388" s="140">
        <v>63.254259999999995</v>
      </c>
      <c r="K388" s="140">
        <v>1201.6347499999999</v>
      </c>
      <c r="L388" s="140">
        <v>1435.9672</v>
      </c>
    </row>
    <row r="389" spans="1:12" ht="21">
      <c r="A389" s="138" t="s">
        <v>2312</v>
      </c>
      <c r="B389" s="135" t="s">
        <v>2315</v>
      </c>
      <c r="C389" s="136" t="s">
        <v>1040</v>
      </c>
      <c r="D389" s="136" t="s">
        <v>971</v>
      </c>
      <c r="E389" s="138" t="s">
        <v>1571</v>
      </c>
      <c r="F389" s="420">
        <v>43100</v>
      </c>
      <c r="G389" s="141">
        <v>2635.3157300000003</v>
      </c>
      <c r="H389" s="141">
        <v>28</v>
      </c>
      <c r="I389" s="141">
        <v>140.74340000000001</v>
      </c>
      <c r="J389" s="141">
        <v>524.60589000000004</v>
      </c>
      <c r="K389" s="141">
        <v>946.97653000000003</v>
      </c>
      <c r="L389" s="141">
        <v>1679.8843999999999</v>
      </c>
    </row>
    <row r="390" spans="1:12" ht="73.5">
      <c r="A390" s="136" t="s">
        <v>2314</v>
      </c>
      <c r="B390" s="137" t="s">
        <v>2317</v>
      </c>
      <c r="C390" s="138" t="s">
        <v>856</v>
      </c>
      <c r="D390" s="138" t="s">
        <v>811</v>
      </c>
      <c r="E390" s="136" t="s">
        <v>1571</v>
      </c>
      <c r="F390" s="419">
        <v>42735</v>
      </c>
      <c r="G390" s="140">
        <v>2626.9189000000001</v>
      </c>
      <c r="H390" s="140">
        <v>28</v>
      </c>
      <c r="I390" s="143" t="s">
        <v>189</v>
      </c>
      <c r="J390" s="140">
        <v>-125.78026</v>
      </c>
      <c r="K390" s="140">
        <v>1455.0887600000001</v>
      </c>
      <c r="L390" s="140">
        <v>1381.1792</v>
      </c>
    </row>
    <row r="391" spans="1:12">
      <c r="A391" s="138" t="s">
        <v>2316</v>
      </c>
      <c r="B391" s="135" t="s">
        <v>2319</v>
      </c>
      <c r="C391" s="136" t="s">
        <v>684</v>
      </c>
      <c r="D391" s="136" t="s">
        <v>681</v>
      </c>
      <c r="E391" s="138" t="s">
        <v>1571</v>
      </c>
      <c r="F391" s="420">
        <v>43100</v>
      </c>
      <c r="G391" s="141">
        <v>2617.277</v>
      </c>
      <c r="H391" s="141">
        <v>8</v>
      </c>
      <c r="I391" s="141">
        <v>89.701999999999998</v>
      </c>
      <c r="J391" s="141">
        <v>1127.0889999999999</v>
      </c>
      <c r="K391" s="141">
        <v>248.404</v>
      </c>
      <c r="L391" s="141">
        <v>1947.0450000000001</v>
      </c>
    </row>
    <row r="392" spans="1:12" ht="21">
      <c r="A392" s="136" t="s">
        <v>2318</v>
      </c>
      <c r="B392" s="137" t="s">
        <v>2321</v>
      </c>
      <c r="C392" s="138" t="s">
        <v>766</v>
      </c>
      <c r="D392" s="138" t="s">
        <v>753</v>
      </c>
      <c r="E392" s="136" t="s">
        <v>1571</v>
      </c>
      <c r="F392" s="419">
        <v>43100</v>
      </c>
      <c r="G392" s="140">
        <v>2614.5852300000001</v>
      </c>
      <c r="H392" s="140">
        <v>19</v>
      </c>
      <c r="I392" s="140">
        <v>31.420819999999999</v>
      </c>
      <c r="J392" s="140">
        <v>204.15454000000003</v>
      </c>
      <c r="K392" s="140">
        <v>732.62214000000006</v>
      </c>
      <c r="L392" s="140">
        <v>1026.94217</v>
      </c>
    </row>
    <row r="393" spans="1:12" ht="21">
      <c r="A393" s="138" t="s">
        <v>2320</v>
      </c>
      <c r="B393" s="135" t="s">
        <v>2323</v>
      </c>
      <c r="C393" s="136" t="s">
        <v>1567</v>
      </c>
      <c r="D393" s="136" t="s">
        <v>1456</v>
      </c>
      <c r="E393" s="138" t="s">
        <v>1571</v>
      </c>
      <c r="F393" s="420">
        <v>43100</v>
      </c>
      <c r="G393" s="141">
        <v>2607.32809</v>
      </c>
      <c r="H393" s="141">
        <v>12</v>
      </c>
      <c r="I393" s="141">
        <v>52.371420000000001</v>
      </c>
      <c r="J393" s="141">
        <v>201.8272</v>
      </c>
      <c r="K393" s="141">
        <v>584.36188000000004</v>
      </c>
      <c r="L393" s="141">
        <v>1004.0994400000001</v>
      </c>
    </row>
    <row r="394" spans="1:12" ht="31.5">
      <c r="A394" s="136" t="s">
        <v>2322</v>
      </c>
      <c r="B394" s="137" t="s">
        <v>2325</v>
      </c>
      <c r="C394" s="138" t="s">
        <v>759</v>
      </c>
      <c r="D394" s="138" t="s">
        <v>753</v>
      </c>
      <c r="E394" s="136" t="s">
        <v>1571</v>
      </c>
      <c r="F394" s="419">
        <v>43100</v>
      </c>
      <c r="G394" s="140">
        <v>2590.8307800000002</v>
      </c>
      <c r="H394" s="140">
        <v>9</v>
      </c>
      <c r="I394" s="140">
        <v>8.1474799999999998</v>
      </c>
      <c r="J394" s="140">
        <v>52.566159999999996</v>
      </c>
      <c r="K394" s="140">
        <v>360.98066999999998</v>
      </c>
      <c r="L394" s="140">
        <v>435.15285</v>
      </c>
    </row>
    <row r="395" spans="1:12" ht="42">
      <c r="A395" s="138" t="s">
        <v>2324</v>
      </c>
      <c r="B395" s="421" t="s">
        <v>2327</v>
      </c>
      <c r="C395" s="136" t="s">
        <v>1488</v>
      </c>
      <c r="D395" s="136" t="s">
        <v>1474</v>
      </c>
      <c r="E395" s="138" t="s">
        <v>1571</v>
      </c>
      <c r="F395" s="420">
        <v>43100</v>
      </c>
      <c r="G395" s="141">
        <v>2589.5672200000004</v>
      </c>
      <c r="H395" s="141">
        <v>5</v>
      </c>
      <c r="I395" s="141">
        <v>45.974609999999998</v>
      </c>
      <c r="J395" s="141">
        <v>145.58625000000001</v>
      </c>
      <c r="K395" s="141">
        <v>227.83676000000003</v>
      </c>
      <c r="L395" s="141">
        <v>449.49382900000006</v>
      </c>
    </row>
    <row r="396" spans="1:12" ht="42">
      <c r="A396" s="136" t="s">
        <v>2326</v>
      </c>
      <c r="B396" s="137" t="s">
        <v>2329</v>
      </c>
      <c r="C396" s="138" t="s">
        <v>973</v>
      </c>
      <c r="D396" s="138" t="s">
        <v>811</v>
      </c>
      <c r="E396" s="136" t="s">
        <v>1571</v>
      </c>
      <c r="F396" s="419">
        <v>42735</v>
      </c>
      <c r="G396" s="140">
        <v>2565.1242299999999</v>
      </c>
      <c r="H396" s="140">
        <v>21</v>
      </c>
      <c r="I396" s="143" t="s">
        <v>189</v>
      </c>
      <c r="J396" s="140">
        <v>-68.000230000000002</v>
      </c>
      <c r="K396" s="140">
        <v>1112.1036700000002</v>
      </c>
      <c r="L396" s="140">
        <v>1454.0895990000001</v>
      </c>
    </row>
    <row r="397" spans="1:12" ht="21">
      <c r="A397" s="138" t="s">
        <v>2328</v>
      </c>
      <c r="B397" s="135" t="s">
        <v>2331</v>
      </c>
      <c r="C397" s="136" t="s">
        <v>1121</v>
      </c>
      <c r="D397" s="136" t="s">
        <v>1112</v>
      </c>
      <c r="E397" s="138" t="s">
        <v>1571</v>
      </c>
      <c r="F397" s="420">
        <v>43100</v>
      </c>
      <c r="G397" s="141">
        <v>2562.2999</v>
      </c>
      <c r="H397" s="141">
        <v>22</v>
      </c>
      <c r="I397" s="141">
        <v>45.072010000000006</v>
      </c>
      <c r="J397" s="141">
        <v>138.58338999999998</v>
      </c>
      <c r="K397" s="141">
        <v>847.49119999999994</v>
      </c>
      <c r="L397" s="141">
        <v>1060.3240490000001</v>
      </c>
    </row>
    <row r="398" spans="1:12">
      <c r="A398" s="136" t="s">
        <v>2330</v>
      </c>
      <c r="B398" s="137" t="s">
        <v>2333</v>
      </c>
      <c r="C398" s="138" t="s">
        <v>1255</v>
      </c>
      <c r="D398" s="138" t="s">
        <v>1251</v>
      </c>
      <c r="E398" s="136" t="s">
        <v>1571</v>
      </c>
      <c r="F398" s="419">
        <v>43100</v>
      </c>
      <c r="G398" s="140">
        <v>2529.2927000000004</v>
      </c>
      <c r="H398" s="140">
        <v>12</v>
      </c>
      <c r="I398" s="140">
        <v>36.937089999999998</v>
      </c>
      <c r="J398" s="140">
        <v>116.04963000000001</v>
      </c>
      <c r="K398" s="140">
        <v>501.83503000000002</v>
      </c>
      <c r="L398" s="140">
        <v>710.53716000000009</v>
      </c>
    </row>
    <row r="399" spans="1:12" ht="31.5">
      <c r="A399" s="138" t="s">
        <v>2332</v>
      </c>
      <c r="B399" s="135" t="s">
        <v>2335</v>
      </c>
      <c r="C399" s="136" t="s">
        <v>1500</v>
      </c>
      <c r="D399" s="136" t="s">
        <v>1501</v>
      </c>
      <c r="E399" s="138" t="s">
        <v>1571</v>
      </c>
      <c r="F399" s="420">
        <v>43100</v>
      </c>
      <c r="G399" s="141">
        <v>2528.2847999999999</v>
      </c>
      <c r="H399" s="141">
        <v>14</v>
      </c>
      <c r="I399" s="141">
        <v>50.094519999999996</v>
      </c>
      <c r="J399" s="141">
        <v>214.50684999999999</v>
      </c>
      <c r="K399" s="141">
        <v>420.12986000000001</v>
      </c>
      <c r="L399" s="141">
        <v>1060.72703</v>
      </c>
    </row>
    <row r="400" spans="1:12" ht="31.5">
      <c r="A400" s="136" t="s">
        <v>2334</v>
      </c>
      <c r="B400" s="137" t="s">
        <v>2337</v>
      </c>
      <c r="C400" s="138" t="s">
        <v>1067</v>
      </c>
      <c r="D400" s="138" t="s">
        <v>971</v>
      </c>
      <c r="E400" s="136" t="s">
        <v>1571</v>
      </c>
      <c r="F400" s="419">
        <v>43100</v>
      </c>
      <c r="G400" s="140">
        <v>2522.58295</v>
      </c>
      <c r="H400" s="140">
        <v>22</v>
      </c>
      <c r="I400" s="140">
        <v>168.26007999999999</v>
      </c>
      <c r="J400" s="140">
        <v>532.82357899999988</v>
      </c>
      <c r="K400" s="140">
        <v>868.99883000000011</v>
      </c>
      <c r="L400" s="140">
        <v>1629.013929</v>
      </c>
    </row>
    <row r="401" spans="1:12" ht="42">
      <c r="A401" s="138" t="s">
        <v>2336</v>
      </c>
      <c r="B401" s="135" t="s">
        <v>2339</v>
      </c>
      <c r="C401" s="136" t="s">
        <v>1388</v>
      </c>
      <c r="D401" s="136" t="s">
        <v>811</v>
      </c>
      <c r="E401" s="138" t="s">
        <v>1571</v>
      </c>
      <c r="F401" s="420">
        <v>43100</v>
      </c>
      <c r="G401" s="141">
        <v>2519.78179</v>
      </c>
      <c r="H401" s="141">
        <v>4</v>
      </c>
      <c r="I401" s="141">
        <v>30.560000000000002</v>
      </c>
      <c r="J401" s="141">
        <v>140.81829999999999</v>
      </c>
      <c r="K401" s="141">
        <v>181.98856000000001</v>
      </c>
      <c r="L401" s="141">
        <v>356.37473000000006</v>
      </c>
    </row>
    <row r="402" spans="1:12" ht="21">
      <c r="A402" s="136" t="s">
        <v>2338</v>
      </c>
      <c r="B402" s="137" t="s">
        <v>2341</v>
      </c>
      <c r="C402" s="138" t="s">
        <v>1301</v>
      </c>
      <c r="D402" s="138" t="s">
        <v>1266</v>
      </c>
      <c r="E402" s="136" t="s">
        <v>1571</v>
      </c>
      <c r="F402" s="419">
        <v>42369</v>
      </c>
      <c r="G402" s="140">
        <v>2502.6203</v>
      </c>
      <c r="H402" s="140">
        <v>10</v>
      </c>
      <c r="I402" s="143" t="s">
        <v>189</v>
      </c>
      <c r="J402" s="140">
        <v>15.564830000000001</v>
      </c>
      <c r="K402" s="140">
        <v>301.32580999999999</v>
      </c>
      <c r="L402" s="140">
        <v>325.71853000000004</v>
      </c>
    </row>
    <row r="403" spans="1:12">
      <c r="A403" s="138" t="s">
        <v>2340</v>
      </c>
      <c r="B403" s="135" t="s">
        <v>2343</v>
      </c>
      <c r="C403" s="136" t="s">
        <v>1260</v>
      </c>
      <c r="D403" s="136" t="s">
        <v>1251</v>
      </c>
      <c r="E403" s="138" t="s">
        <v>1571</v>
      </c>
      <c r="F403" s="420">
        <v>43100</v>
      </c>
      <c r="G403" s="141">
        <v>2495.7023199999999</v>
      </c>
      <c r="H403" s="141">
        <v>7</v>
      </c>
      <c r="I403" s="141">
        <v>1.76475</v>
      </c>
      <c r="J403" s="141">
        <v>5.5883700000000003</v>
      </c>
      <c r="K403" s="141">
        <v>339.37029999999999</v>
      </c>
      <c r="L403" s="141">
        <v>419.95597000000004</v>
      </c>
    </row>
    <row r="404" spans="1:12" ht="21">
      <c r="A404" s="136" t="s">
        <v>2342</v>
      </c>
      <c r="B404" s="137" t="s">
        <v>2345</v>
      </c>
      <c r="C404" s="138" t="s">
        <v>1464</v>
      </c>
      <c r="D404" s="138" t="s">
        <v>1461</v>
      </c>
      <c r="E404" s="136" t="s">
        <v>1571</v>
      </c>
      <c r="F404" s="419">
        <v>42004</v>
      </c>
      <c r="G404" s="140">
        <v>2487.6693799999998</v>
      </c>
      <c r="H404" s="143" t="s">
        <v>189</v>
      </c>
      <c r="I404" s="143" t="s">
        <v>189</v>
      </c>
      <c r="J404" s="140">
        <v>23.80743</v>
      </c>
      <c r="K404" s="140">
        <v>526.61028999999996</v>
      </c>
      <c r="L404" s="140">
        <v>581.01989000000003</v>
      </c>
    </row>
    <row r="405" spans="1:12" ht="21">
      <c r="A405" s="138" t="s">
        <v>2344</v>
      </c>
      <c r="B405" s="135" t="s">
        <v>2347</v>
      </c>
      <c r="C405" s="136" t="s">
        <v>1109</v>
      </c>
      <c r="D405" s="136" t="s">
        <v>969</v>
      </c>
      <c r="E405" s="138" t="s">
        <v>1571</v>
      </c>
      <c r="F405" s="420">
        <v>43100</v>
      </c>
      <c r="G405" s="141">
        <v>2484.9386300000001</v>
      </c>
      <c r="H405" s="141">
        <v>12</v>
      </c>
      <c r="I405" s="141">
        <v>0.79701999999999995</v>
      </c>
      <c r="J405" s="141">
        <v>-20.555099999999999</v>
      </c>
      <c r="K405" s="141">
        <v>604.88935000000015</v>
      </c>
      <c r="L405" s="141">
        <v>687.40367999999989</v>
      </c>
    </row>
    <row r="406" spans="1:12" ht="52.5">
      <c r="A406" s="136" t="s">
        <v>2346</v>
      </c>
      <c r="B406" s="137" t="s">
        <v>2349</v>
      </c>
      <c r="C406" s="138" t="s">
        <v>1068</v>
      </c>
      <c r="D406" s="138" t="s">
        <v>969</v>
      </c>
      <c r="E406" s="136" t="s">
        <v>1571</v>
      </c>
      <c r="F406" s="419">
        <v>43100</v>
      </c>
      <c r="G406" s="140">
        <v>2455.3557600000004</v>
      </c>
      <c r="H406" s="140">
        <v>11</v>
      </c>
      <c r="I406" s="140">
        <v>52.311169999999997</v>
      </c>
      <c r="J406" s="140">
        <v>198.10506000000001</v>
      </c>
      <c r="K406" s="140">
        <v>598.45721000000003</v>
      </c>
      <c r="L406" s="140">
        <v>992.30827899999986</v>
      </c>
    </row>
    <row r="407" spans="1:12" ht="31.5">
      <c r="A407" s="138" t="s">
        <v>2348</v>
      </c>
      <c r="B407" s="135" t="s">
        <v>2351</v>
      </c>
      <c r="C407" s="136" t="s">
        <v>1059</v>
      </c>
      <c r="D407" s="136" t="s">
        <v>969</v>
      </c>
      <c r="E407" s="138" t="s">
        <v>1571</v>
      </c>
      <c r="F407" s="420">
        <v>43100</v>
      </c>
      <c r="G407" s="141">
        <v>2432.9065000000001</v>
      </c>
      <c r="H407" s="141">
        <v>19</v>
      </c>
      <c r="I407" s="142" t="s">
        <v>189</v>
      </c>
      <c r="J407" s="141">
        <v>10.67169</v>
      </c>
      <c r="K407" s="141">
        <v>641.88671999999997</v>
      </c>
      <c r="L407" s="141">
        <v>761.33411899999999</v>
      </c>
    </row>
    <row r="408" spans="1:12" ht="31.5">
      <c r="A408" s="136" t="s">
        <v>2350</v>
      </c>
      <c r="B408" s="137" t="s">
        <v>2353</v>
      </c>
      <c r="C408" s="138" t="s">
        <v>1103</v>
      </c>
      <c r="D408" s="138" t="s">
        <v>969</v>
      </c>
      <c r="E408" s="136" t="s">
        <v>1571</v>
      </c>
      <c r="F408" s="419">
        <v>43100</v>
      </c>
      <c r="G408" s="140">
        <v>2425.3761789999999</v>
      </c>
      <c r="H408" s="140">
        <v>58</v>
      </c>
      <c r="I408" s="140">
        <v>27.943639999999998</v>
      </c>
      <c r="J408" s="140">
        <v>1.74552</v>
      </c>
      <c r="K408" s="140">
        <v>819.37625000000003</v>
      </c>
      <c r="L408" s="140">
        <v>923.29047000000003</v>
      </c>
    </row>
    <row r="409" spans="1:12" ht="21">
      <c r="A409" s="138" t="s">
        <v>2352</v>
      </c>
      <c r="B409" s="135" t="s">
        <v>2355</v>
      </c>
      <c r="C409" s="136" t="s">
        <v>959</v>
      </c>
      <c r="D409" s="136" t="s">
        <v>811</v>
      </c>
      <c r="E409" s="138" t="s">
        <v>1571</v>
      </c>
      <c r="F409" s="420">
        <v>43100</v>
      </c>
      <c r="G409" s="141">
        <v>2419.9340000000002</v>
      </c>
      <c r="H409" s="141">
        <v>21</v>
      </c>
      <c r="I409" s="141"/>
      <c r="J409" s="141">
        <v>-121.15260000000001</v>
      </c>
      <c r="K409" s="141">
        <v>1216.8920000000001</v>
      </c>
      <c r="L409" s="141">
        <v>1219.865</v>
      </c>
    </row>
    <row r="410" spans="1:12" ht="52.5">
      <c r="A410" s="136" t="s">
        <v>2354</v>
      </c>
      <c r="B410" s="137" t="s">
        <v>2357</v>
      </c>
      <c r="C410" s="138" t="s">
        <v>1459</v>
      </c>
      <c r="D410" s="138" t="s">
        <v>1456</v>
      </c>
      <c r="E410" s="136" t="s">
        <v>1571</v>
      </c>
      <c r="F410" s="419">
        <v>43100</v>
      </c>
      <c r="G410" s="140">
        <v>2385.1502800000003</v>
      </c>
      <c r="H410" s="140">
        <v>19</v>
      </c>
      <c r="I410" s="140">
        <v>62.504669999999997</v>
      </c>
      <c r="J410" s="140">
        <v>265.85646000000003</v>
      </c>
      <c r="K410" s="140">
        <v>896.11003000000005</v>
      </c>
      <c r="L410" s="140">
        <v>1257.69949</v>
      </c>
    </row>
    <row r="411" spans="1:12" ht="21">
      <c r="A411" s="138" t="s">
        <v>2356</v>
      </c>
      <c r="B411" s="135" t="s">
        <v>2359</v>
      </c>
      <c r="C411" s="136" t="s">
        <v>1094</v>
      </c>
      <c r="D411" s="136" t="s">
        <v>969</v>
      </c>
      <c r="E411" s="138" t="s">
        <v>1571</v>
      </c>
      <c r="F411" s="420">
        <v>43100</v>
      </c>
      <c r="G411" s="141">
        <v>2359.5996800000003</v>
      </c>
      <c r="H411" s="141">
        <v>23</v>
      </c>
      <c r="I411" s="141">
        <v>37.481219999999993</v>
      </c>
      <c r="J411" s="141">
        <v>118.69051</v>
      </c>
      <c r="K411" s="141">
        <v>1083.7273900000002</v>
      </c>
      <c r="L411" s="141">
        <v>1283.528229</v>
      </c>
    </row>
    <row r="412" spans="1:12" ht="42">
      <c r="A412" s="136" t="s">
        <v>2358</v>
      </c>
      <c r="B412" s="137" t="s">
        <v>2361</v>
      </c>
      <c r="C412" s="138" t="s">
        <v>1437</v>
      </c>
      <c r="D412" s="138" t="s">
        <v>1429</v>
      </c>
      <c r="E412" s="136" t="s">
        <v>1571</v>
      </c>
      <c r="F412" s="419">
        <v>43100</v>
      </c>
      <c r="G412" s="140">
        <v>2356.4047390000001</v>
      </c>
      <c r="H412" s="140">
        <v>18</v>
      </c>
      <c r="I412" s="140">
        <v>14.524559999999999</v>
      </c>
      <c r="J412" s="140">
        <v>40.295200000000001</v>
      </c>
      <c r="K412" s="140">
        <v>692.65294000000006</v>
      </c>
      <c r="L412" s="140">
        <v>793.89128899999992</v>
      </c>
    </row>
    <row r="413" spans="1:12">
      <c r="A413" s="138" t="s">
        <v>2360</v>
      </c>
      <c r="B413" s="135" t="s">
        <v>2363</v>
      </c>
      <c r="C413" s="136" t="s">
        <v>1401</v>
      </c>
      <c r="D413" s="136" t="s">
        <v>2364</v>
      </c>
      <c r="E413" s="138" t="s">
        <v>1571</v>
      </c>
      <c r="F413" s="420">
        <v>43100</v>
      </c>
      <c r="G413" s="141">
        <v>2355.9069399999998</v>
      </c>
      <c r="H413" s="141">
        <v>36</v>
      </c>
      <c r="I413" s="141">
        <v>24.530629999999999</v>
      </c>
      <c r="J413" s="141">
        <v>61.840139999999998</v>
      </c>
      <c r="K413" s="141">
        <v>1455.0386000000001</v>
      </c>
      <c r="L413" s="141">
        <v>1790.47999</v>
      </c>
    </row>
    <row r="414" spans="1:12" ht="21">
      <c r="A414" s="136" t="s">
        <v>2362</v>
      </c>
      <c r="B414" s="137" t="s">
        <v>2366</v>
      </c>
      <c r="C414" s="138" t="s">
        <v>1498</v>
      </c>
      <c r="D414" s="138" t="s">
        <v>1474</v>
      </c>
      <c r="E414" s="136" t="s">
        <v>1571</v>
      </c>
      <c r="F414" s="419">
        <v>43100</v>
      </c>
      <c r="G414" s="140">
        <v>2349.6076200000002</v>
      </c>
      <c r="H414" s="140">
        <v>21</v>
      </c>
      <c r="I414" s="140"/>
      <c r="J414" s="140">
        <v>-81.235709999999997</v>
      </c>
      <c r="K414" s="140">
        <v>615.2002</v>
      </c>
      <c r="L414" s="140">
        <v>648.65444000000002</v>
      </c>
    </row>
    <row r="415" spans="1:12">
      <c r="A415" s="138" t="s">
        <v>2365</v>
      </c>
      <c r="B415" s="135" t="s">
        <v>2368</v>
      </c>
      <c r="C415" s="136" t="s">
        <v>1091</v>
      </c>
      <c r="D415" s="136" t="s">
        <v>969</v>
      </c>
      <c r="E415" s="138" t="s">
        <v>1571</v>
      </c>
      <c r="F415" s="420">
        <v>43100</v>
      </c>
      <c r="G415" s="141">
        <v>2345.9342999999999</v>
      </c>
      <c r="H415" s="141">
        <v>10</v>
      </c>
      <c r="I415" s="142" t="s">
        <v>189</v>
      </c>
      <c r="J415" s="141">
        <v>-3.1125900000000004</v>
      </c>
      <c r="K415" s="141">
        <v>408.10915</v>
      </c>
      <c r="L415" s="141">
        <v>416.08809000000002</v>
      </c>
    </row>
    <row r="416" spans="1:12" ht="42">
      <c r="A416" s="136" t="s">
        <v>2367</v>
      </c>
      <c r="B416" s="137" t="s">
        <v>2370</v>
      </c>
      <c r="C416" s="138" t="s">
        <v>675</v>
      </c>
      <c r="D416" s="138" t="s">
        <v>673</v>
      </c>
      <c r="E416" s="136" t="s">
        <v>1571</v>
      </c>
      <c r="F416" s="419">
        <v>43100</v>
      </c>
      <c r="G416" s="140">
        <v>2341.8812000000003</v>
      </c>
      <c r="H416" s="140">
        <v>18</v>
      </c>
      <c r="I416" s="140">
        <v>1.1155200000000001</v>
      </c>
      <c r="J416" s="140">
        <v>20.712700000000002</v>
      </c>
      <c r="K416" s="140">
        <v>484.10619000000003</v>
      </c>
      <c r="L416" s="140">
        <v>559.37361999999996</v>
      </c>
    </row>
    <row r="417" spans="1:12" ht="31.5">
      <c r="A417" s="138" t="s">
        <v>2369</v>
      </c>
      <c r="B417" s="135" t="s">
        <v>2372</v>
      </c>
      <c r="C417" s="136" t="s">
        <v>1102</v>
      </c>
      <c r="D417" s="136" t="s">
        <v>969</v>
      </c>
      <c r="E417" s="138" t="s">
        <v>1571</v>
      </c>
      <c r="F417" s="420">
        <v>43100</v>
      </c>
      <c r="G417" s="141">
        <v>2341.7806099999998</v>
      </c>
      <c r="H417" s="141">
        <v>16</v>
      </c>
      <c r="I417" s="141">
        <v>1.7981099999999999</v>
      </c>
      <c r="J417" s="141">
        <v>5.6939900000000003</v>
      </c>
      <c r="K417" s="141">
        <v>683.31434000000013</v>
      </c>
      <c r="L417" s="141">
        <v>784.79659000000004</v>
      </c>
    </row>
    <row r="418" spans="1:12" ht="42">
      <c r="A418" s="136" t="s">
        <v>2371</v>
      </c>
      <c r="B418" s="137" t="s">
        <v>2374</v>
      </c>
      <c r="C418" s="138" t="s">
        <v>1241</v>
      </c>
      <c r="D418" s="138" t="s">
        <v>1235</v>
      </c>
      <c r="E418" s="136" t="s">
        <v>1571</v>
      </c>
      <c r="F418" s="419">
        <v>43100</v>
      </c>
      <c r="G418" s="140">
        <v>2333.9051800000002</v>
      </c>
      <c r="H418" s="140">
        <v>26</v>
      </c>
      <c r="I418" s="140">
        <v>15.48925</v>
      </c>
      <c r="J418" s="140">
        <v>64.704819999999998</v>
      </c>
      <c r="K418" s="140">
        <v>872.42525000000001</v>
      </c>
      <c r="L418" s="140">
        <v>970.86539000000005</v>
      </c>
    </row>
    <row r="419" spans="1:12" ht="31.5">
      <c r="A419" s="138" t="s">
        <v>2373</v>
      </c>
      <c r="B419" s="421" t="s">
        <v>2376</v>
      </c>
      <c r="C419" s="136" t="s">
        <v>708</v>
      </c>
      <c r="D419" s="136" t="s">
        <v>705</v>
      </c>
      <c r="E419" s="138" t="s">
        <v>1571</v>
      </c>
      <c r="F419" s="420">
        <v>43100</v>
      </c>
      <c r="G419" s="141">
        <v>2320.4204099999997</v>
      </c>
      <c r="H419" s="141">
        <v>24</v>
      </c>
      <c r="I419" s="141">
        <v>50.196680000000001</v>
      </c>
      <c r="J419" s="141">
        <v>287.22547000000003</v>
      </c>
      <c r="K419" s="141">
        <v>927.60023000000001</v>
      </c>
      <c r="L419" s="141">
        <v>1361.35628</v>
      </c>
    </row>
    <row r="420" spans="1:12">
      <c r="A420" s="136" t="s">
        <v>2375</v>
      </c>
      <c r="B420" s="137" t="s">
        <v>2378</v>
      </c>
      <c r="C420" s="138" t="s">
        <v>1467</v>
      </c>
      <c r="D420" s="138" t="s">
        <v>1461</v>
      </c>
      <c r="E420" s="136" t="s">
        <v>1571</v>
      </c>
      <c r="F420" s="419">
        <v>43100</v>
      </c>
      <c r="G420" s="140">
        <v>2317.5743899999998</v>
      </c>
      <c r="H420" s="140">
        <v>15</v>
      </c>
      <c r="I420" s="140">
        <v>25.373669999999997</v>
      </c>
      <c r="J420" s="140">
        <v>70.785289999999989</v>
      </c>
      <c r="K420" s="140">
        <v>529.79981900000007</v>
      </c>
      <c r="L420" s="140">
        <v>669.421649</v>
      </c>
    </row>
    <row r="421" spans="1:12" ht="42">
      <c r="A421" s="138" t="s">
        <v>2377</v>
      </c>
      <c r="B421" s="135" t="s">
        <v>2380</v>
      </c>
      <c r="C421" s="136" t="s">
        <v>996</v>
      </c>
      <c r="D421" s="136" t="s">
        <v>975</v>
      </c>
      <c r="E421" s="138" t="s">
        <v>1571</v>
      </c>
      <c r="F421" s="420">
        <v>43100</v>
      </c>
      <c r="G421" s="141">
        <v>2316.1366699999999</v>
      </c>
      <c r="H421" s="141">
        <v>8</v>
      </c>
      <c r="I421" s="141">
        <v>9.9480400000000007</v>
      </c>
      <c r="J421" s="141">
        <v>41.864659999999994</v>
      </c>
      <c r="K421" s="141">
        <v>407.62543000000005</v>
      </c>
      <c r="L421" s="141">
        <v>482.58713</v>
      </c>
    </row>
    <row r="422" spans="1:12" ht="21">
      <c r="A422" s="136" t="s">
        <v>2379</v>
      </c>
      <c r="B422" s="137" t="s">
        <v>2382</v>
      </c>
      <c r="C422" s="138" t="s">
        <v>980</v>
      </c>
      <c r="D422" s="138" t="s">
        <v>975</v>
      </c>
      <c r="E422" s="136" t="s">
        <v>1571</v>
      </c>
      <c r="F422" s="419">
        <v>42735</v>
      </c>
      <c r="G422" s="140">
        <v>2311.4473699999999</v>
      </c>
      <c r="H422" s="140">
        <v>9</v>
      </c>
      <c r="I422" s="143" t="s">
        <v>189</v>
      </c>
      <c r="J422" s="140">
        <v>42.314810000000008</v>
      </c>
      <c r="K422" s="140">
        <v>266.20616899999999</v>
      </c>
      <c r="L422" s="140">
        <v>418.26768900000002</v>
      </c>
    </row>
    <row r="423" spans="1:12" ht="42">
      <c r="A423" s="138" t="s">
        <v>2381</v>
      </c>
      <c r="B423" s="135" t="s">
        <v>2384</v>
      </c>
      <c r="C423" s="136" t="s">
        <v>1037</v>
      </c>
      <c r="D423" s="136" t="s">
        <v>971</v>
      </c>
      <c r="E423" s="138" t="s">
        <v>1571</v>
      </c>
      <c r="F423" s="420">
        <v>43100</v>
      </c>
      <c r="G423" s="141">
        <v>2308.1197000000002</v>
      </c>
      <c r="H423" s="141">
        <v>24</v>
      </c>
      <c r="I423" s="141">
        <v>5.4257299999999997</v>
      </c>
      <c r="J423" s="141">
        <v>37.934890000000003</v>
      </c>
      <c r="K423" s="141">
        <v>838.18173000000002</v>
      </c>
      <c r="L423" s="141">
        <v>912.69705900000008</v>
      </c>
    </row>
    <row r="424" spans="1:12" ht="31.5">
      <c r="A424" s="136" t="s">
        <v>2383</v>
      </c>
      <c r="B424" s="137" t="s">
        <v>2386</v>
      </c>
      <c r="C424" s="138" t="s">
        <v>683</v>
      </c>
      <c r="D424" s="138" t="s">
        <v>681</v>
      </c>
      <c r="E424" s="136" t="s">
        <v>1571</v>
      </c>
      <c r="F424" s="419">
        <v>43100</v>
      </c>
      <c r="G424" s="140">
        <v>2282.3509899999999</v>
      </c>
      <c r="H424" s="140">
        <v>20</v>
      </c>
      <c r="I424" s="140">
        <v>0.6182700000000001</v>
      </c>
      <c r="J424" s="140">
        <v>35.650559999999999</v>
      </c>
      <c r="K424" s="140">
        <v>644.11980000000005</v>
      </c>
      <c r="L424" s="140">
        <v>699.44231000000002</v>
      </c>
    </row>
    <row r="425" spans="1:12">
      <c r="A425" s="138" t="s">
        <v>2385</v>
      </c>
      <c r="B425" s="135" t="s">
        <v>2388</v>
      </c>
      <c r="C425" s="136" t="s">
        <v>1551</v>
      </c>
      <c r="D425" s="136" t="s">
        <v>1279</v>
      </c>
      <c r="E425" s="138" t="s">
        <v>1571</v>
      </c>
      <c r="F425" s="420">
        <v>43100</v>
      </c>
      <c r="G425" s="141">
        <v>2279.1521000000002</v>
      </c>
      <c r="H425" s="141">
        <v>18</v>
      </c>
      <c r="I425" s="141">
        <v>11.811140000000002</v>
      </c>
      <c r="J425" s="141">
        <v>30.371510000000001</v>
      </c>
      <c r="K425" s="141">
        <v>744.75407999999993</v>
      </c>
      <c r="L425" s="141">
        <v>868.17490000000009</v>
      </c>
    </row>
    <row r="426" spans="1:12" ht="31.5">
      <c r="A426" s="136" t="s">
        <v>2387</v>
      </c>
      <c r="B426" s="137" t="s">
        <v>2390</v>
      </c>
      <c r="C426" s="138" t="s">
        <v>1391</v>
      </c>
      <c r="D426" s="138" t="s">
        <v>1797</v>
      </c>
      <c r="E426" s="136" t="s">
        <v>1571</v>
      </c>
      <c r="F426" s="419">
        <v>43100</v>
      </c>
      <c r="G426" s="140">
        <v>2278.3774800000001</v>
      </c>
      <c r="H426" s="140">
        <v>14</v>
      </c>
      <c r="I426" s="140">
        <v>59.689</v>
      </c>
      <c r="J426" s="140">
        <v>290.95747000000006</v>
      </c>
      <c r="K426" s="140">
        <v>351.36059000000006</v>
      </c>
      <c r="L426" s="140">
        <v>946.52971000000002</v>
      </c>
    </row>
    <row r="427" spans="1:12" ht="31.5">
      <c r="A427" s="138" t="s">
        <v>2389</v>
      </c>
      <c r="B427" s="135" t="s">
        <v>2392</v>
      </c>
      <c r="C427" s="136" t="s">
        <v>1009</v>
      </c>
      <c r="D427" s="136" t="s">
        <v>975</v>
      </c>
      <c r="E427" s="138" t="s">
        <v>1571</v>
      </c>
      <c r="F427" s="420">
        <v>43100</v>
      </c>
      <c r="G427" s="141">
        <v>2276.5159399999998</v>
      </c>
      <c r="H427" s="141">
        <v>18</v>
      </c>
      <c r="I427" s="141"/>
      <c r="J427" s="141">
        <v>10.179680000000001</v>
      </c>
      <c r="K427" s="141">
        <v>701.89300000000003</v>
      </c>
      <c r="L427" s="141">
        <v>833.2187899999999</v>
      </c>
    </row>
    <row r="428" spans="1:12" ht="21">
      <c r="A428" s="136" t="s">
        <v>2391</v>
      </c>
      <c r="B428" s="137" t="s">
        <v>2394</v>
      </c>
      <c r="C428" s="138" t="s">
        <v>740</v>
      </c>
      <c r="D428" s="138" t="s">
        <v>741</v>
      </c>
      <c r="E428" s="136" t="s">
        <v>1571</v>
      </c>
      <c r="F428" s="419">
        <v>43100</v>
      </c>
      <c r="G428" s="140">
        <v>2259.1637000000001</v>
      </c>
      <c r="H428" s="140">
        <v>24</v>
      </c>
      <c r="I428" s="140"/>
      <c r="J428" s="140">
        <v>-19.554669999999998</v>
      </c>
      <c r="K428" s="140">
        <v>851.57411000000002</v>
      </c>
      <c r="L428" s="140">
        <v>915.61148900000001</v>
      </c>
    </row>
    <row r="429" spans="1:12">
      <c r="A429" s="138" t="s">
        <v>2393</v>
      </c>
      <c r="B429" s="135" t="s">
        <v>2396</v>
      </c>
      <c r="C429" s="136" t="s">
        <v>864</v>
      </c>
      <c r="D429" s="136" t="s">
        <v>811</v>
      </c>
      <c r="E429" s="138" t="s">
        <v>1571</v>
      </c>
      <c r="F429" s="420">
        <v>43100</v>
      </c>
      <c r="G429" s="141">
        <v>2234.5174299999999</v>
      </c>
      <c r="H429" s="141">
        <v>15</v>
      </c>
      <c r="I429" s="141">
        <v>42.939840000000004</v>
      </c>
      <c r="J429" s="141">
        <v>138.22618</v>
      </c>
      <c r="K429" s="141">
        <v>697.67806000000007</v>
      </c>
      <c r="L429" s="141">
        <v>906.04995000000008</v>
      </c>
    </row>
    <row r="430" spans="1:12" ht="31.5">
      <c r="A430" s="136" t="s">
        <v>2395</v>
      </c>
      <c r="B430" s="137" t="s">
        <v>2398</v>
      </c>
      <c r="C430" s="138" t="s">
        <v>1396</v>
      </c>
      <c r="D430" s="138" t="s">
        <v>811</v>
      </c>
      <c r="E430" s="136" t="s">
        <v>1571</v>
      </c>
      <c r="F430" s="419">
        <v>43100</v>
      </c>
      <c r="G430" s="140">
        <v>2208.23614</v>
      </c>
      <c r="H430" s="140">
        <v>1</v>
      </c>
      <c r="I430" s="143" t="s">
        <v>189</v>
      </c>
      <c r="J430" s="140">
        <v>5.3286000000000007</v>
      </c>
      <c r="K430" s="140">
        <v>95.786150000000006</v>
      </c>
      <c r="L430" s="140">
        <v>107.44399</v>
      </c>
    </row>
    <row r="431" spans="1:12">
      <c r="A431" s="138" t="s">
        <v>2397</v>
      </c>
      <c r="B431" s="135" t="s">
        <v>2400</v>
      </c>
      <c r="C431" s="136" t="s">
        <v>1163</v>
      </c>
      <c r="D431" s="136" t="s">
        <v>1156</v>
      </c>
      <c r="E431" s="138" t="s">
        <v>1571</v>
      </c>
      <c r="F431" s="420">
        <v>43100</v>
      </c>
      <c r="G431" s="141">
        <v>2189.5385900000001</v>
      </c>
      <c r="H431" s="141">
        <v>12</v>
      </c>
      <c r="I431" s="141">
        <v>68.936779999999999</v>
      </c>
      <c r="J431" s="141">
        <v>229.41996</v>
      </c>
      <c r="K431" s="141">
        <v>622.00004000000001</v>
      </c>
      <c r="L431" s="141">
        <v>1138.0123000000001</v>
      </c>
    </row>
    <row r="432" spans="1:12" ht="31.5">
      <c r="A432" s="136" t="s">
        <v>2399</v>
      </c>
      <c r="B432" s="137" t="s">
        <v>2402</v>
      </c>
      <c r="C432" s="138" t="s">
        <v>1509</v>
      </c>
      <c r="D432" s="138" t="s">
        <v>1501</v>
      </c>
      <c r="E432" s="136" t="s">
        <v>1571</v>
      </c>
      <c r="F432" s="419">
        <v>43100</v>
      </c>
      <c r="G432" s="140">
        <v>2179.2036800000001</v>
      </c>
      <c r="H432" s="140">
        <v>22</v>
      </c>
      <c r="I432" s="140">
        <v>5.2328200000000011</v>
      </c>
      <c r="J432" s="140">
        <v>34.4407</v>
      </c>
      <c r="K432" s="140">
        <v>851.51137000000006</v>
      </c>
      <c r="L432" s="140">
        <v>1046.81764</v>
      </c>
    </row>
    <row r="433" spans="1:12" ht="21">
      <c r="A433" s="138" t="s">
        <v>2401</v>
      </c>
      <c r="B433" s="135" t="s">
        <v>2404</v>
      </c>
      <c r="C433" s="136" t="s">
        <v>1242</v>
      </c>
      <c r="D433" s="136" t="s">
        <v>1235</v>
      </c>
      <c r="E433" s="138" t="s">
        <v>1571</v>
      </c>
      <c r="F433" s="420">
        <v>43100</v>
      </c>
      <c r="G433" s="141">
        <v>2177.3915000000002</v>
      </c>
      <c r="H433" s="141">
        <v>12</v>
      </c>
      <c r="I433" s="141">
        <v>19.5075</v>
      </c>
      <c r="J433" s="141">
        <v>51.970359999999999</v>
      </c>
      <c r="K433" s="141">
        <v>597.78926000000001</v>
      </c>
      <c r="L433" s="141">
        <v>746.85814000000005</v>
      </c>
    </row>
    <row r="434" spans="1:12" ht="31.5">
      <c r="A434" s="136" t="s">
        <v>2403</v>
      </c>
      <c r="B434" s="137" t="s">
        <v>2406</v>
      </c>
      <c r="C434" s="138" t="s">
        <v>1378</v>
      </c>
      <c r="D434" s="138" t="s">
        <v>1800</v>
      </c>
      <c r="E434" s="136" t="s">
        <v>1571</v>
      </c>
      <c r="F434" s="419">
        <v>43100</v>
      </c>
      <c r="G434" s="140">
        <v>2173.96344</v>
      </c>
      <c r="H434" s="140">
        <v>21</v>
      </c>
      <c r="I434" s="143" t="s">
        <v>189</v>
      </c>
      <c r="J434" s="140">
        <v>-10.75855</v>
      </c>
      <c r="K434" s="140">
        <v>838.52930000000003</v>
      </c>
      <c r="L434" s="140">
        <v>984.43910000000005</v>
      </c>
    </row>
    <row r="435" spans="1:12">
      <c r="A435" s="138" t="s">
        <v>2405</v>
      </c>
      <c r="B435" s="135" t="s">
        <v>2408</v>
      </c>
      <c r="C435" s="136" t="s">
        <v>1398</v>
      </c>
      <c r="D435" s="136" t="s">
        <v>1399</v>
      </c>
      <c r="E435" s="138" t="s">
        <v>1571</v>
      </c>
      <c r="F435" s="420">
        <v>43100</v>
      </c>
      <c r="G435" s="141">
        <v>2154.3092800000004</v>
      </c>
      <c r="H435" s="141">
        <v>17</v>
      </c>
      <c r="I435" s="141">
        <v>9.8326300000000018</v>
      </c>
      <c r="J435" s="141">
        <v>41.378990000000002</v>
      </c>
      <c r="K435" s="141">
        <v>423.74088</v>
      </c>
      <c r="L435" s="141">
        <v>1005.1677099999999</v>
      </c>
    </row>
    <row r="436" spans="1:12" ht="52.5">
      <c r="A436" s="136" t="s">
        <v>2407</v>
      </c>
      <c r="B436" s="137" t="s">
        <v>2410</v>
      </c>
      <c r="C436" s="138" t="s">
        <v>1502</v>
      </c>
      <c r="D436" s="138" t="s">
        <v>1501</v>
      </c>
      <c r="E436" s="136" t="s">
        <v>1571</v>
      </c>
      <c r="F436" s="419">
        <v>43100</v>
      </c>
      <c r="G436" s="140">
        <v>2148.9242000000004</v>
      </c>
      <c r="H436" s="140">
        <v>12</v>
      </c>
      <c r="I436" s="140">
        <v>13.372790000000002</v>
      </c>
      <c r="J436" s="140">
        <v>55.706219999999995</v>
      </c>
      <c r="K436" s="140">
        <v>595.7544200000001</v>
      </c>
      <c r="L436" s="140">
        <v>697.04317999999989</v>
      </c>
    </row>
    <row r="437" spans="1:12" ht="42">
      <c r="A437" s="138" t="s">
        <v>2409</v>
      </c>
      <c r="B437" s="135" t="s">
        <v>2412</v>
      </c>
      <c r="C437" s="136" t="s">
        <v>1259</v>
      </c>
      <c r="D437" s="136" t="s">
        <v>1251</v>
      </c>
      <c r="E437" s="138" t="s">
        <v>1571</v>
      </c>
      <c r="F437" s="420">
        <v>43100</v>
      </c>
      <c r="G437" s="141">
        <v>2134.07971</v>
      </c>
      <c r="H437" s="141">
        <v>15</v>
      </c>
      <c r="I437" s="141">
        <v>26.483529999999998</v>
      </c>
      <c r="J437" s="141">
        <v>208.30279000000002</v>
      </c>
      <c r="K437" s="141">
        <v>517.43892000000005</v>
      </c>
      <c r="L437" s="141">
        <v>882.00774000000001</v>
      </c>
    </row>
    <row r="438" spans="1:12" ht="31.5">
      <c r="A438" s="136" t="s">
        <v>2411</v>
      </c>
      <c r="B438" s="137" t="s">
        <v>2414</v>
      </c>
      <c r="C438" s="138" t="s">
        <v>1116</v>
      </c>
      <c r="D438" s="138" t="s">
        <v>1112</v>
      </c>
      <c r="E438" s="136" t="s">
        <v>1571</v>
      </c>
      <c r="F438" s="419">
        <v>43100</v>
      </c>
      <c r="G438" s="140">
        <v>2127.5162990000003</v>
      </c>
      <c r="H438" s="140">
        <v>7</v>
      </c>
      <c r="I438" s="140">
        <v>18.159940000000002</v>
      </c>
      <c r="J438" s="140">
        <v>69.618539999999996</v>
      </c>
      <c r="K438" s="140">
        <v>203.14221000000003</v>
      </c>
      <c r="L438" s="140">
        <v>295.19882000000001</v>
      </c>
    </row>
    <row r="439" spans="1:12" ht="21">
      <c r="A439" s="138" t="s">
        <v>2413</v>
      </c>
      <c r="B439" s="135" t="s">
        <v>2416</v>
      </c>
      <c r="C439" s="136" t="s">
        <v>1438</v>
      </c>
      <c r="D439" s="136" t="s">
        <v>1429</v>
      </c>
      <c r="E439" s="138" t="s">
        <v>1571</v>
      </c>
      <c r="F439" s="420">
        <v>43100</v>
      </c>
      <c r="G439" s="141">
        <v>2090.3444100000002</v>
      </c>
      <c r="H439" s="141">
        <v>15</v>
      </c>
      <c r="I439" s="141">
        <v>41.308370000000004</v>
      </c>
      <c r="J439" s="141">
        <v>220.73073000000002</v>
      </c>
      <c r="K439" s="141">
        <v>595.17961000000003</v>
      </c>
      <c r="L439" s="141">
        <v>1122.72695</v>
      </c>
    </row>
    <row r="440" spans="1:12" ht="52.5">
      <c r="A440" s="136" t="s">
        <v>2415</v>
      </c>
      <c r="B440" s="137" t="s">
        <v>2418</v>
      </c>
      <c r="C440" s="138" t="s">
        <v>1039</v>
      </c>
      <c r="D440" s="138" t="s">
        <v>1625</v>
      </c>
      <c r="E440" s="136" t="s">
        <v>1571</v>
      </c>
      <c r="F440" s="419">
        <v>43100</v>
      </c>
      <c r="G440" s="140">
        <v>2079.9752600000002</v>
      </c>
      <c r="H440" s="140">
        <v>7</v>
      </c>
      <c r="I440" s="140">
        <v>5.1686600000000009</v>
      </c>
      <c r="J440" s="140">
        <v>12.48157</v>
      </c>
      <c r="K440" s="140">
        <v>255.26174000000003</v>
      </c>
      <c r="L440" s="140">
        <v>276.95797000000005</v>
      </c>
    </row>
    <row r="441" spans="1:12" ht="21">
      <c r="A441" s="138" t="s">
        <v>2417</v>
      </c>
      <c r="B441" s="135" t="s">
        <v>2420</v>
      </c>
      <c r="C441" s="136" t="s">
        <v>1003</v>
      </c>
      <c r="D441" s="136" t="s">
        <v>975</v>
      </c>
      <c r="E441" s="138" t="s">
        <v>1571</v>
      </c>
      <c r="F441" s="420">
        <v>42735</v>
      </c>
      <c r="G441" s="141">
        <v>2071.8710099999998</v>
      </c>
      <c r="H441" s="141">
        <v>53</v>
      </c>
      <c r="I441" s="141">
        <v>4.0718500000000004</v>
      </c>
      <c r="J441" s="141">
        <v>13.17516</v>
      </c>
      <c r="K441" s="141">
        <v>1465.5280700000001</v>
      </c>
      <c r="L441" s="141">
        <v>1534.0411400000003</v>
      </c>
    </row>
    <row r="442" spans="1:12" ht="21">
      <c r="A442" s="136" t="s">
        <v>2419</v>
      </c>
      <c r="B442" s="137" t="s">
        <v>2422</v>
      </c>
      <c r="C442" s="138" t="s">
        <v>666</v>
      </c>
      <c r="D442" s="138" t="s">
        <v>1622</v>
      </c>
      <c r="E442" s="136" t="s">
        <v>1571</v>
      </c>
      <c r="F442" s="419">
        <v>43100</v>
      </c>
      <c r="G442" s="140">
        <v>2070.3393800000003</v>
      </c>
      <c r="H442" s="140">
        <v>14</v>
      </c>
      <c r="I442" s="143" t="s">
        <v>189</v>
      </c>
      <c r="J442" s="140">
        <v>32.59301</v>
      </c>
      <c r="K442" s="140">
        <v>488.74023000000005</v>
      </c>
      <c r="L442" s="140">
        <v>559.53325000000007</v>
      </c>
    </row>
    <row r="443" spans="1:12" ht="42">
      <c r="A443" s="138" t="s">
        <v>2421</v>
      </c>
      <c r="B443" s="135" t="s">
        <v>2424</v>
      </c>
      <c r="C443" s="136" t="s">
        <v>896</v>
      </c>
      <c r="D443" s="136" t="s">
        <v>188</v>
      </c>
      <c r="E443" s="138" t="s">
        <v>1571</v>
      </c>
      <c r="F443" s="420">
        <v>43100</v>
      </c>
      <c r="G443" s="141">
        <v>2066.2009899999998</v>
      </c>
      <c r="H443" s="141">
        <v>20</v>
      </c>
      <c r="I443" s="141">
        <v>3.9732500000000002</v>
      </c>
      <c r="J443" s="141">
        <v>12.58197</v>
      </c>
      <c r="K443" s="141">
        <v>863.19085000000007</v>
      </c>
      <c r="L443" s="141">
        <v>946.56374000000005</v>
      </c>
    </row>
    <row r="444" spans="1:12" ht="21">
      <c r="A444" s="136" t="s">
        <v>2423</v>
      </c>
      <c r="B444" s="137" t="s">
        <v>2426</v>
      </c>
      <c r="C444" s="138" t="s">
        <v>871</v>
      </c>
      <c r="D444" s="138" t="s">
        <v>811</v>
      </c>
      <c r="E444" s="136" t="s">
        <v>1571</v>
      </c>
      <c r="F444" s="419">
        <v>43100</v>
      </c>
      <c r="G444" s="140">
        <v>2057.0770000000002</v>
      </c>
      <c r="H444" s="140">
        <v>7</v>
      </c>
      <c r="I444" s="140">
        <v>78.043000000000006</v>
      </c>
      <c r="J444" s="140">
        <v>233.63</v>
      </c>
      <c r="K444" s="140">
        <v>207.726</v>
      </c>
      <c r="L444" s="140">
        <v>529.29999999999995</v>
      </c>
    </row>
    <row r="445" spans="1:12" ht="31.5">
      <c r="A445" s="138" t="s">
        <v>2425</v>
      </c>
      <c r="B445" s="135" t="s">
        <v>2428</v>
      </c>
      <c r="C445" s="136" t="s">
        <v>615</v>
      </c>
      <c r="D445" s="136" t="s">
        <v>596</v>
      </c>
      <c r="E445" s="138" t="s">
        <v>1571</v>
      </c>
      <c r="F445" s="420">
        <v>43100</v>
      </c>
      <c r="G445" s="141">
        <v>2051.59969</v>
      </c>
      <c r="H445" s="141">
        <v>32</v>
      </c>
      <c r="I445" s="142" t="s">
        <v>189</v>
      </c>
      <c r="J445" s="141">
        <v>25.7332</v>
      </c>
      <c r="K445" s="141">
        <v>587.00864999999999</v>
      </c>
      <c r="L445" s="141">
        <v>613.89919999999995</v>
      </c>
    </row>
    <row r="446" spans="1:12" ht="42">
      <c r="A446" s="136" t="s">
        <v>2427</v>
      </c>
      <c r="B446" s="137" t="s">
        <v>2430</v>
      </c>
      <c r="C446" s="138" t="s">
        <v>1028</v>
      </c>
      <c r="D446" s="138" t="s">
        <v>1027</v>
      </c>
      <c r="E446" s="136" t="s">
        <v>1571</v>
      </c>
      <c r="F446" s="419">
        <v>43100</v>
      </c>
      <c r="G446" s="140">
        <v>2043.60348</v>
      </c>
      <c r="H446" s="140">
        <v>13</v>
      </c>
      <c r="I446" s="140">
        <v>6.90008</v>
      </c>
      <c r="J446" s="140">
        <v>45.37323</v>
      </c>
      <c r="K446" s="140">
        <v>838.75128999999993</v>
      </c>
      <c r="L446" s="140">
        <v>908.25628999999992</v>
      </c>
    </row>
    <row r="447" spans="1:12" ht="21">
      <c r="A447" s="138" t="s">
        <v>2429</v>
      </c>
      <c r="B447" s="135" t="s">
        <v>2432</v>
      </c>
      <c r="C447" s="136" t="s">
        <v>1170</v>
      </c>
      <c r="D447" s="136" t="s">
        <v>1168</v>
      </c>
      <c r="E447" s="138" t="s">
        <v>1571</v>
      </c>
      <c r="F447" s="420">
        <v>43100</v>
      </c>
      <c r="G447" s="141">
        <v>2040.82781</v>
      </c>
      <c r="H447" s="141">
        <v>5</v>
      </c>
      <c r="I447" s="141">
        <v>41.214469999999999</v>
      </c>
      <c r="J447" s="141">
        <v>47.53293</v>
      </c>
      <c r="K447" s="141">
        <v>291.51704999999998</v>
      </c>
      <c r="L447" s="141">
        <v>407.55367000000001</v>
      </c>
    </row>
    <row r="448" spans="1:12" ht="42">
      <c r="A448" s="136" t="s">
        <v>2431</v>
      </c>
      <c r="B448" s="137" t="s">
        <v>2434</v>
      </c>
      <c r="C448" s="138" t="s">
        <v>1361</v>
      </c>
      <c r="D448" s="138" t="s">
        <v>1341</v>
      </c>
      <c r="E448" s="136" t="s">
        <v>1571</v>
      </c>
      <c r="F448" s="419">
        <v>43100</v>
      </c>
      <c r="G448" s="140">
        <v>2027.2256400000001</v>
      </c>
      <c r="H448" s="140">
        <v>9</v>
      </c>
      <c r="I448" s="140">
        <v>2.49762</v>
      </c>
      <c r="J448" s="140">
        <v>7.9091400000000007</v>
      </c>
      <c r="K448" s="140">
        <v>390.86091000000005</v>
      </c>
      <c r="L448" s="140">
        <v>466.44120000000004</v>
      </c>
    </row>
    <row r="449" spans="1:12" ht="31.5">
      <c r="A449" s="138" t="s">
        <v>2433</v>
      </c>
      <c r="B449" s="135" t="s">
        <v>2436</v>
      </c>
      <c r="C449" s="136" t="s">
        <v>884</v>
      </c>
      <c r="D449" s="136" t="s">
        <v>811</v>
      </c>
      <c r="E449" s="138" t="s">
        <v>1571</v>
      </c>
      <c r="F449" s="420">
        <v>43100</v>
      </c>
      <c r="G449" s="141">
        <v>2016.0628600000002</v>
      </c>
      <c r="H449" s="141">
        <v>17</v>
      </c>
      <c r="I449" s="141">
        <v>23.223099999999999</v>
      </c>
      <c r="J449" s="141">
        <v>73.539810000000003</v>
      </c>
      <c r="K449" s="141">
        <v>607.90562999999997</v>
      </c>
      <c r="L449" s="141">
        <v>725.65236000000016</v>
      </c>
    </row>
    <row r="450" spans="1:12" ht="21">
      <c r="A450" s="136" t="s">
        <v>2435</v>
      </c>
      <c r="B450" s="137" t="s">
        <v>2438</v>
      </c>
      <c r="C450" s="138" t="s">
        <v>1178</v>
      </c>
      <c r="D450" s="138" t="s">
        <v>1168</v>
      </c>
      <c r="E450" s="136" t="s">
        <v>1571</v>
      </c>
      <c r="F450" s="419">
        <v>42735</v>
      </c>
      <c r="G450" s="140">
        <v>2015.29645</v>
      </c>
      <c r="H450" s="140">
        <v>50</v>
      </c>
      <c r="I450" s="143" t="s">
        <v>189</v>
      </c>
      <c r="J450" s="140">
        <v>2.3476300000000001</v>
      </c>
      <c r="K450" s="140">
        <v>1336.74899</v>
      </c>
      <c r="L450" s="140">
        <v>1351.7280490000001</v>
      </c>
    </row>
    <row r="451" spans="1:12">
      <c r="A451" s="138" t="s">
        <v>2437</v>
      </c>
      <c r="B451" s="135" t="s">
        <v>2440</v>
      </c>
      <c r="C451" s="136" t="s">
        <v>1392</v>
      </c>
      <c r="D451" s="136" t="s">
        <v>1393</v>
      </c>
      <c r="E451" s="138" t="s">
        <v>1571</v>
      </c>
      <c r="F451" s="420">
        <v>43100</v>
      </c>
      <c r="G451" s="141">
        <v>2004.3501300000003</v>
      </c>
      <c r="H451" s="141">
        <v>8</v>
      </c>
      <c r="I451" s="142" t="s">
        <v>189</v>
      </c>
      <c r="J451" s="141">
        <v>2.2164600000000001</v>
      </c>
      <c r="K451" s="141">
        <v>452.67915999999997</v>
      </c>
      <c r="L451" s="141">
        <v>462.07693000000006</v>
      </c>
    </row>
    <row r="452" spans="1:12" ht="21">
      <c r="A452" s="136" t="s">
        <v>2439</v>
      </c>
      <c r="B452" s="137" t="s">
        <v>2442</v>
      </c>
      <c r="C452" s="138" t="s">
        <v>752</v>
      </c>
      <c r="D452" s="138" t="s">
        <v>753</v>
      </c>
      <c r="E452" s="136" t="s">
        <v>1571</v>
      </c>
      <c r="F452" s="419">
        <v>43100</v>
      </c>
      <c r="G452" s="140">
        <v>1981.3035890000001</v>
      </c>
      <c r="H452" s="140">
        <v>27</v>
      </c>
      <c r="I452" s="140">
        <v>59.662950000000002</v>
      </c>
      <c r="J452" s="140">
        <v>193.86648</v>
      </c>
      <c r="K452" s="140">
        <v>926.20377999999994</v>
      </c>
      <c r="L452" s="140">
        <v>1223.6596800000002</v>
      </c>
    </row>
    <row r="453" spans="1:12" ht="31.5">
      <c r="A453" s="138" t="s">
        <v>2441</v>
      </c>
      <c r="B453" s="135" t="s">
        <v>2444</v>
      </c>
      <c r="C453" s="136" t="s">
        <v>1548</v>
      </c>
      <c r="D453" s="136" t="s">
        <v>1279</v>
      </c>
      <c r="E453" s="138" t="s">
        <v>1571</v>
      </c>
      <c r="F453" s="420">
        <v>43100</v>
      </c>
      <c r="G453" s="141">
        <v>1978.49398</v>
      </c>
      <c r="H453" s="141">
        <v>17</v>
      </c>
      <c r="I453" s="142" t="s">
        <v>189</v>
      </c>
      <c r="J453" s="141">
        <v>8.9623200000000001</v>
      </c>
      <c r="K453" s="141">
        <v>890.63909000000001</v>
      </c>
      <c r="L453" s="141">
        <v>942.21262899999999</v>
      </c>
    </row>
    <row r="454" spans="1:12" ht="42">
      <c r="A454" s="136" t="s">
        <v>2443</v>
      </c>
      <c r="B454" s="137" t="s">
        <v>2446</v>
      </c>
      <c r="C454" s="138" t="s">
        <v>1347</v>
      </c>
      <c r="D454" s="138" t="s">
        <v>1341</v>
      </c>
      <c r="E454" s="136" t="s">
        <v>1571</v>
      </c>
      <c r="F454" s="419">
        <v>43100</v>
      </c>
      <c r="G454" s="140">
        <v>1973.04223</v>
      </c>
      <c r="H454" s="140">
        <v>10</v>
      </c>
      <c r="I454" s="140">
        <v>38.097389999999997</v>
      </c>
      <c r="J454" s="140">
        <v>109.58383000000001</v>
      </c>
      <c r="K454" s="140">
        <v>394.21292000000005</v>
      </c>
      <c r="L454" s="140">
        <v>574.87776999999994</v>
      </c>
    </row>
    <row r="455" spans="1:12" ht="21">
      <c r="A455" s="138" t="s">
        <v>2445</v>
      </c>
      <c r="B455" s="135" t="s">
        <v>2448</v>
      </c>
      <c r="C455" s="136" t="s">
        <v>1191</v>
      </c>
      <c r="D455" s="136" t="s">
        <v>1190</v>
      </c>
      <c r="E455" s="138" t="s">
        <v>1571</v>
      </c>
      <c r="F455" s="420">
        <v>43100</v>
      </c>
      <c r="G455" s="141">
        <v>1971.54304</v>
      </c>
      <c r="H455" s="141">
        <v>20</v>
      </c>
      <c r="I455" s="142" t="s">
        <v>189</v>
      </c>
      <c r="J455" s="141">
        <v>31.86279</v>
      </c>
      <c r="K455" s="141">
        <v>828.35401999999999</v>
      </c>
      <c r="L455" s="141">
        <v>917.90954000000011</v>
      </c>
    </row>
    <row r="456" spans="1:12">
      <c r="A456" s="136" t="s">
        <v>2447</v>
      </c>
      <c r="B456" s="137" t="s">
        <v>2450</v>
      </c>
      <c r="C456" s="138" t="s">
        <v>634</v>
      </c>
      <c r="D456" s="138" t="s">
        <v>596</v>
      </c>
      <c r="E456" s="136" t="s">
        <v>1571</v>
      </c>
      <c r="F456" s="419">
        <v>43100</v>
      </c>
      <c r="G456" s="140">
        <v>1953.5818700000002</v>
      </c>
      <c r="H456" s="140">
        <v>9</v>
      </c>
      <c r="I456" s="140">
        <v>4.1353990000000005</v>
      </c>
      <c r="J456" s="140">
        <v>13.65192</v>
      </c>
      <c r="K456" s="140">
        <v>306.86151000000001</v>
      </c>
      <c r="L456" s="140">
        <v>371.17554899999999</v>
      </c>
    </row>
    <row r="457" spans="1:12" ht="21">
      <c r="A457" s="138" t="s">
        <v>2449</v>
      </c>
      <c r="B457" s="135" t="s">
        <v>2452</v>
      </c>
      <c r="C457" s="136" t="s">
        <v>977</v>
      </c>
      <c r="D457" s="136" t="s">
        <v>975</v>
      </c>
      <c r="E457" s="138" t="s">
        <v>1571</v>
      </c>
      <c r="F457" s="420">
        <v>43100</v>
      </c>
      <c r="G457" s="141">
        <v>1941.2858900000001</v>
      </c>
      <c r="H457" s="141">
        <v>19</v>
      </c>
      <c r="I457" s="141">
        <v>6.8952400000000003</v>
      </c>
      <c r="J457" s="141">
        <v>21.834920000000004</v>
      </c>
      <c r="K457" s="141">
        <v>778.72973999999999</v>
      </c>
      <c r="L457" s="141">
        <v>972.09234000000015</v>
      </c>
    </row>
    <row r="458" spans="1:12" ht="42">
      <c r="A458" s="136" t="s">
        <v>2451</v>
      </c>
      <c r="B458" s="137" t="s">
        <v>2454</v>
      </c>
      <c r="C458" s="138" t="s">
        <v>1117</v>
      </c>
      <c r="D458" s="138" t="s">
        <v>1027</v>
      </c>
      <c r="E458" s="136" t="s">
        <v>1571</v>
      </c>
      <c r="F458" s="419">
        <v>43100</v>
      </c>
      <c r="G458" s="140">
        <v>1939.65752</v>
      </c>
      <c r="H458" s="140">
        <v>15</v>
      </c>
      <c r="I458" s="140">
        <v>4.9582500000000005</v>
      </c>
      <c r="J458" s="140">
        <v>11.47885</v>
      </c>
      <c r="K458" s="140">
        <v>561.47211000000004</v>
      </c>
      <c r="L458" s="140">
        <v>620.64748999999995</v>
      </c>
    </row>
    <row r="459" spans="1:12" ht="21">
      <c r="A459" s="138" t="s">
        <v>2453</v>
      </c>
      <c r="B459" s="135" t="s">
        <v>2456</v>
      </c>
      <c r="C459" s="136" t="s">
        <v>1173</v>
      </c>
      <c r="D459" s="136" t="s">
        <v>1168</v>
      </c>
      <c r="E459" s="138" t="s">
        <v>1571</v>
      </c>
      <c r="F459" s="420">
        <v>43100</v>
      </c>
      <c r="G459" s="141">
        <v>1918.2269900000001</v>
      </c>
      <c r="H459" s="141">
        <v>7</v>
      </c>
      <c r="I459" s="141">
        <v>9.2918000000000003</v>
      </c>
      <c r="J459" s="141">
        <v>0.64167000000000007</v>
      </c>
      <c r="K459" s="141">
        <v>347.96647000000002</v>
      </c>
      <c r="L459" s="141">
        <v>409.92712900000004</v>
      </c>
    </row>
    <row r="460" spans="1:12" ht="42">
      <c r="A460" s="136" t="s">
        <v>2455</v>
      </c>
      <c r="B460" s="137" t="s">
        <v>2458</v>
      </c>
      <c r="C460" s="138" t="s">
        <v>990</v>
      </c>
      <c r="D460" s="138" t="s">
        <v>975</v>
      </c>
      <c r="E460" s="136" t="s">
        <v>1571</v>
      </c>
      <c r="F460" s="419">
        <v>43100</v>
      </c>
      <c r="G460" s="140">
        <v>1917.7498800000001</v>
      </c>
      <c r="H460" s="140">
        <v>7</v>
      </c>
      <c r="I460" s="140">
        <v>17.698109999999996</v>
      </c>
      <c r="J460" s="140">
        <v>149.89761999999999</v>
      </c>
      <c r="K460" s="140">
        <v>274.26176000000004</v>
      </c>
      <c r="L460" s="140">
        <v>479.47681900000003</v>
      </c>
    </row>
    <row r="461" spans="1:12" ht="21">
      <c r="A461" s="138" t="s">
        <v>2457</v>
      </c>
      <c r="B461" s="135" t="s">
        <v>2460</v>
      </c>
      <c r="C461" s="136" t="s">
        <v>945</v>
      </c>
      <c r="D461" s="136" t="s">
        <v>811</v>
      </c>
      <c r="E461" s="138" t="s">
        <v>1571</v>
      </c>
      <c r="F461" s="420">
        <v>43100</v>
      </c>
      <c r="G461" s="141">
        <v>1915.2435990000001</v>
      </c>
      <c r="H461" s="141">
        <v>9</v>
      </c>
      <c r="I461" s="141">
        <v>19.316980000000004</v>
      </c>
      <c r="J461" s="141">
        <v>74.866989999999987</v>
      </c>
      <c r="K461" s="141">
        <v>329.03262999999998</v>
      </c>
      <c r="L461" s="141">
        <v>434.70183900000006</v>
      </c>
    </row>
    <row r="462" spans="1:12">
      <c r="A462" s="136" t="s">
        <v>2459</v>
      </c>
      <c r="B462" s="137" t="s">
        <v>2462</v>
      </c>
      <c r="C462" s="138" t="s">
        <v>988</v>
      </c>
      <c r="D462" s="138" t="s">
        <v>1474</v>
      </c>
      <c r="E462" s="136" t="s">
        <v>1571</v>
      </c>
      <c r="F462" s="419">
        <v>43100</v>
      </c>
      <c r="G462" s="140">
        <v>1912.2447400000001</v>
      </c>
      <c r="H462" s="140">
        <v>19</v>
      </c>
      <c r="I462" s="140">
        <v>27.233509999999999</v>
      </c>
      <c r="J462" s="140">
        <v>86.239450000000005</v>
      </c>
      <c r="K462" s="140">
        <v>646.60269999999991</v>
      </c>
      <c r="L462" s="140">
        <v>830.72757999999999</v>
      </c>
    </row>
    <row r="463" spans="1:12" ht="21">
      <c r="A463" s="138" t="s">
        <v>2461</v>
      </c>
      <c r="B463" s="135" t="s">
        <v>2464</v>
      </c>
      <c r="C463" s="136" t="s">
        <v>1086</v>
      </c>
      <c r="D463" s="136" t="s">
        <v>969</v>
      </c>
      <c r="E463" s="138" t="s">
        <v>1571</v>
      </c>
      <c r="F463" s="420">
        <v>43100</v>
      </c>
      <c r="G463" s="141">
        <v>1911.2298700000001</v>
      </c>
      <c r="H463" s="142" t="s">
        <v>189</v>
      </c>
      <c r="I463" s="141">
        <v>18.198040000000002</v>
      </c>
      <c r="J463" s="141">
        <v>57.627139999999997</v>
      </c>
      <c r="K463" s="141">
        <v>612.08526000000006</v>
      </c>
      <c r="L463" s="141">
        <v>747.48804900000005</v>
      </c>
    </row>
    <row r="464" spans="1:12" ht="31.5">
      <c r="A464" s="136" t="s">
        <v>2463</v>
      </c>
      <c r="B464" s="137" t="s">
        <v>2466</v>
      </c>
      <c r="C464" s="138" t="s">
        <v>899</v>
      </c>
      <c r="D464" s="138" t="s">
        <v>811</v>
      </c>
      <c r="E464" s="136" t="s">
        <v>1571</v>
      </c>
      <c r="F464" s="419">
        <v>43100</v>
      </c>
      <c r="G464" s="140">
        <v>1895.7829199999999</v>
      </c>
      <c r="H464" s="140">
        <v>21</v>
      </c>
      <c r="I464" s="140">
        <v>25.582640000000001</v>
      </c>
      <c r="J464" s="140">
        <v>142.94971000000001</v>
      </c>
      <c r="K464" s="140">
        <v>813.40191000000004</v>
      </c>
      <c r="L464" s="140">
        <v>1000.20973</v>
      </c>
    </row>
    <row r="465" spans="1:12" ht="21">
      <c r="A465" s="138" t="s">
        <v>2465</v>
      </c>
      <c r="B465" s="135" t="s">
        <v>2468</v>
      </c>
      <c r="C465" s="136" t="s">
        <v>1326</v>
      </c>
      <c r="D465" s="136" t="s">
        <v>1320</v>
      </c>
      <c r="E465" s="138" t="s">
        <v>1571</v>
      </c>
      <c r="F465" s="420">
        <v>37621</v>
      </c>
      <c r="G465" s="141">
        <v>1891.1067500000001</v>
      </c>
      <c r="H465" s="141">
        <v>17</v>
      </c>
      <c r="I465" s="141">
        <v>6.3645300000000002</v>
      </c>
      <c r="J465" s="141">
        <v>62.510280000000002</v>
      </c>
      <c r="K465" s="141">
        <v>790.47417999999993</v>
      </c>
      <c r="L465" s="141">
        <v>919.9203500000001</v>
      </c>
    </row>
    <row r="466" spans="1:12" ht="21">
      <c r="A466" s="136" t="s">
        <v>2467</v>
      </c>
      <c r="B466" s="137" t="s">
        <v>2470</v>
      </c>
      <c r="C466" s="138" t="s">
        <v>1196</v>
      </c>
      <c r="D466" s="138" t="s">
        <v>1190</v>
      </c>
      <c r="E466" s="136" t="s">
        <v>1571</v>
      </c>
      <c r="F466" s="419">
        <v>43100</v>
      </c>
      <c r="G466" s="140">
        <v>1881.3762300000001</v>
      </c>
      <c r="H466" s="140">
        <v>15</v>
      </c>
      <c r="I466" s="140">
        <v>54.852989999999998</v>
      </c>
      <c r="J466" s="140">
        <v>360.69993000000005</v>
      </c>
      <c r="K466" s="140">
        <v>691.85770000000002</v>
      </c>
      <c r="L466" s="140">
        <v>1132.4815490000001</v>
      </c>
    </row>
    <row r="467" spans="1:12">
      <c r="A467" s="138" t="s">
        <v>2469</v>
      </c>
      <c r="B467" s="135" t="s">
        <v>2472</v>
      </c>
      <c r="C467" s="136" t="s">
        <v>1444</v>
      </c>
      <c r="D467" s="136" t="s">
        <v>1429</v>
      </c>
      <c r="E467" s="138" t="s">
        <v>1571</v>
      </c>
      <c r="F467" s="420">
        <v>43100</v>
      </c>
      <c r="G467" s="141">
        <v>1862.44074</v>
      </c>
      <c r="H467" s="141">
        <v>13</v>
      </c>
      <c r="I467" s="141">
        <v>99.529139999999998</v>
      </c>
      <c r="J467" s="141">
        <v>159.87604999999999</v>
      </c>
      <c r="K467" s="141">
        <v>507.93617</v>
      </c>
      <c r="L467" s="141">
        <v>845.10499000000004</v>
      </c>
    </row>
    <row r="468" spans="1:12" ht="21">
      <c r="A468" s="136" t="s">
        <v>2471</v>
      </c>
      <c r="B468" s="137" t="s">
        <v>2474</v>
      </c>
      <c r="C468" s="138" t="s">
        <v>1556</v>
      </c>
      <c r="D468" s="138" t="s">
        <v>1279</v>
      </c>
      <c r="E468" s="136" t="s">
        <v>1571</v>
      </c>
      <c r="F468" s="419">
        <v>43100</v>
      </c>
      <c r="G468" s="140">
        <v>1830.4983100000002</v>
      </c>
      <c r="H468" s="140">
        <v>9</v>
      </c>
      <c r="I468" s="140">
        <v>37.835389999999997</v>
      </c>
      <c r="J468" s="140">
        <v>160.14777000000001</v>
      </c>
      <c r="K468" s="140">
        <v>440.75040000000001</v>
      </c>
      <c r="L468" s="140">
        <v>646.25992000000008</v>
      </c>
    </row>
    <row r="469" spans="1:12" ht="21">
      <c r="A469" s="138" t="s">
        <v>2473</v>
      </c>
      <c r="B469" s="135" t="s">
        <v>2476</v>
      </c>
      <c r="C469" s="136" t="s">
        <v>764</v>
      </c>
      <c r="D469" s="136" t="s">
        <v>753</v>
      </c>
      <c r="E469" s="138" t="s">
        <v>1571</v>
      </c>
      <c r="F469" s="420">
        <v>43100</v>
      </c>
      <c r="G469" s="141">
        <v>1829.73405</v>
      </c>
      <c r="H469" s="141">
        <v>6</v>
      </c>
      <c r="I469" s="141">
        <v>3.1284000000000001</v>
      </c>
      <c r="J469" s="141">
        <v>23.603380000000001</v>
      </c>
      <c r="K469" s="141">
        <v>202.80981999999997</v>
      </c>
      <c r="L469" s="141">
        <v>280.64895000000001</v>
      </c>
    </row>
    <row r="470" spans="1:12" ht="52.5">
      <c r="A470" s="136" t="s">
        <v>2475</v>
      </c>
      <c r="B470" s="137" t="s">
        <v>2478</v>
      </c>
      <c r="C470" s="138" t="s">
        <v>1274</v>
      </c>
      <c r="D470" s="138" t="s">
        <v>1266</v>
      </c>
      <c r="E470" s="136" t="s">
        <v>1571</v>
      </c>
      <c r="F470" s="419">
        <v>43100</v>
      </c>
      <c r="G470" s="140">
        <v>1823.9211100000002</v>
      </c>
      <c r="H470" s="140">
        <v>18</v>
      </c>
      <c r="I470" s="140">
        <v>58.77516</v>
      </c>
      <c r="J470" s="140">
        <v>185.57660000000001</v>
      </c>
      <c r="K470" s="140">
        <v>896.80706999999995</v>
      </c>
      <c r="L470" s="140">
        <v>1178.37392</v>
      </c>
    </row>
    <row r="471" spans="1:12">
      <c r="A471" s="138" t="s">
        <v>2477</v>
      </c>
      <c r="B471" s="135" t="s">
        <v>2480</v>
      </c>
      <c r="C471" s="136" t="s">
        <v>1329</v>
      </c>
      <c r="D471" s="136" t="s">
        <v>1320</v>
      </c>
      <c r="E471" s="138" t="s">
        <v>1571</v>
      </c>
      <c r="F471" s="420">
        <v>43100</v>
      </c>
      <c r="G471" s="141">
        <v>1816.1417200000001</v>
      </c>
      <c r="H471" s="141">
        <v>7</v>
      </c>
      <c r="I471" s="141">
        <v>30.54562</v>
      </c>
      <c r="J471" s="141">
        <v>182.66707000000002</v>
      </c>
      <c r="K471" s="141">
        <v>255.18928</v>
      </c>
      <c r="L471" s="141">
        <v>481.48559999999998</v>
      </c>
    </row>
    <row r="472" spans="1:12" ht="31.5">
      <c r="A472" s="136" t="s">
        <v>2479</v>
      </c>
      <c r="B472" s="137" t="s">
        <v>2482</v>
      </c>
      <c r="C472" s="138" t="s">
        <v>1254</v>
      </c>
      <c r="D472" s="138" t="s">
        <v>1251</v>
      </c>
      <c r="E472" s="136" t="s">
        <v>1571</v>
      </c>
      <c r="F472" s="419">
        <v>43100</v>
      </c>
      <c r="G472" s="140">
        <v>1813.24297</v>
      </c>
      <c r="H472" s="140">
        <v>26</v>
      </c>
      <c r="I472" s="143" t="s">
        <v>189</v>
      </c>
      <c r="J472" s="140">
        <v>-77.828170000000014</v>
      </c>
      <c r="K472" s="140">
        <v>981.76375000000007</v>
      </c>
      <c r="L472" s="140">
        <v>920.38850000000002</v>
      </c>
    </row>
    <row r="473" spans="1:12" ht="31.5">
      <c r="A473" s="138" t="s">
        <v>2481</v>
      </c>
      <c r="B473" s="135" t="s">
        <v>2484</v>
      </c>
      <c r="C473" s="136" t="s">
        <v>691</v>
      </c>
      <c r="D473" s="136" t="s">
        <v>689</v>
      </c>
      <c r="E473" s="138" t="s">
        <v>1571</v>
      </c>
      <c r="F473" s="420">
        <v>43100</v>
      </c>
      <c r="G473" s="141">
        <v>1807.6156300000002</v>
      </c>
      <c r="H473" s="141">
        <v>17</v>
      </c>
      <c r="I473" s="142" t="s">
        <v>189</v>
      </c>
      <c r="J473" s="141">
        <v>164.04911999999999</v>
      </c>
      <c r="K473" s="141">
        <v>579.39106000000004</v>
      </c>
      <c r="L473" s="141">
        <v>907.66925000000003</v>
      </c>
    </row>
    <row r="474" spans="1:12">
      <c r="A474" s="136" t="s">
        <v>2483</v>
      </c>
      <c r="B474" s="137" t="s">
        <v>2486</v>
      </c>
      <c r="C474" s="138" t="s">
        <v>1164</v>
      </c>
      <c r="D474" s="138" t="s">
        <v>1156</v>
      </c>
      <c r="E474" s="136" t="s">
        <v>1571</v>
      </c>
      <c r="F474" s="419">
        <v>43100</v>
      </c>
      <c r="G474" s="140">
        <v>1798.0025000000001</v>
      </c>
      <c r="H474" s="140">
        <v>13</v>
      </c>
      <c r="I474" s="143" t="s">
        <v>189</v>
      </c>
      <c r="J474" s="140">
        <v>10.64889</v>
      </c>
      <c r="K474" s="140">
        <v>522.83733000000007</v>
      </c>
      <c r="L474" s="140">
        <v>606.03673000000003</v>
      </c>
    </row>
    <row r="475" spans="1:12" ht="21">
      <c r="A475" s="138" t="s">
        <v>2485</v>
      </c>
      <c r="B475" s="135" t="s">
        <v>2488</v>
      </c>
      <c r="C475" s="136" t="s">
        <v>1287</v>
      </c>
      <c r="D475" s="136" t="s">
        <v>1266</v>
      </c>
      <c r="E475" s="138" t="s">
        <v>1571</v>
      </c>
      <c r="F475" s="420">
        <v>43100</v>
      </c>
      <c r="G475" s="141">
        <v>1791.9435600000002</v>
      </c>
      <c r="H475" s="141">
        <v>10</v>
      </c>
      <c r="I475" s="142" t="s">
        <v>189</v>
      </c>
      <c r="J475" s="141">
        <v>26.46818</v>
      </c>
      <c r="K475" s="141">
        <v>328.18736000000001</v>
      </c>
      <c r="L475" s="141">
        <v>388.15209999999996</v>
      </c>
    </row>
    <row r="476" spans="1:12" ht="21">
      <c r="A476" s="136" t="s">
        <v>2487</v>
      </c>
      <c r="B476" s="137" t="s">
        <v>2490</v>
      </c>
      <c r="C476" s="138" t="s">
        <v>1271</v>
      </c>
      <c r="D476" s="138" t="s">
        <v>1266</v>
      </c>
      <c r="E476" s="136" t="s">
        <v>1571</v>
      </c>
      <c r="F476" s="419">
        <v>43100</v>
      </c>
      <c r="G476" s="140">
        <v>1789.5481800000002</v>
      </c>
      <c r="H476" s="140">
        <v>14</v>
      </c>
      <c r="I476" s="140">
        <v>9.5600499999999986</v>
      </c>
      <c r="J476" s="140">
        <v>169.52540999999999</v>
      </c>
      <c r="K476" s="140">
        <v>611.06546000000014</v>
      </c>
      <c r="L476" s="140">
        <v>850.06425899999999</v>
      </c>
    </row>
    <row r="477" spans="1:12" ht="21">
      <c r="A477" s="138" t="s">
        <v>2489</v>
      </c>
      <c r="B477" s="135" t="s">
        <v>2492</v>
      </c>
      <c r="C477" s="136" t="s">
        <v>1044</v>
      </c>
      <c r="D477" s="136" t="s">
        <v>971</v>
      </c>
      <c r="E477" s="138" t="s">
        <v>1571</v>
      </c>
      <c r="F477" s="420">
        <v>43100</v>
      </c>
      <c r="G477" s="141">
        <v>1787.6664499999999</v>
      </c>
      <c r="H477" s="141">
        <v>16</v>
      </c>
      <c r="I477" s="141">
        <v>64.692160000000001</v>
      </c>
      <c r="J477" s="141">
        <v>204.85848999999999</v>
      </c>
      <c r="K477" s="141">
        <v>522.39352000000008</v>
      </c>
      <c r="L477" s="141">
        <v>925.17939000000001</v>
      </c>
    </row>
    <row r="478" spans="1:12" ht="21">
      <c r="A478" s="136" t="s">
        <v>2491</v>
      </c>
      <c r="B478" s="137" t="s">
        <v>2494</v>
      </c>
      <c r="C478" s="138" t="s">
        <v>1300</v>
      </c>
      <c r="D478" s="138" t="s">
        <v>1266</v>
      </c>
      <c r="E478" s="136" t="s">
        <v>1571</v>
      </c>
      <c r="F478" s="419">
        <v>43100</v>
      </c>
      <c r="G478" s="140">
        <v>1783.3961700000002</v>
      </c>
      <c r="H478" s="140">
        <v>8</v>
      </c>
      <c r="I478" s="140">
        <v>8.7873499999999982</v>
      </c>
      <c r="J478" s="140">
        <v>74.426220000000001</v>
      </c>
      <c r="K478" s="140">
        <v>235.10229000000001</v>
      </c>
      <c r="L478" s="140">
        <v>448.29300000000001</v>
      </c>
    </row>
    <row r="479" spans="1:12" ht="21">
      <c r="A479" s="138" t="s">
        <v>2493</v>
      </c>
      <c r="B479" s="135" t="s">
        <v>2496</v>
      </c>
      <c r="C479" s="136" t="s">
        <v>1360</v>
      </c>
      <c r="D479" s="136" t="s">
        <v>1341</v>
      </c>
      <c r="E479" s="138" t="s">
        <v>1571</v>
      </c>
      <c r="F479" s="420">
        <v>43100</v>
      </c>
      <c r="G479" s="141">
        <v>1774.8936500000002</v>
      </c>
      <c r="H479" s="141">
        <v>15</v>
      </c>
      <c r="I479" s="141">
        <v>44.862000000000002</v>
      </c>
      <c r="J479" s="141">
        <v>160.74313000000001</v>
      </c>
      <c r="K479" s="141">
        <v>559.90463</v>
      </c>
      <c r="L479" s="141">
        <v>892.14025000000004</v>
      </c>
    </row>
    <row r="480" spans="1:12" ht="21">
      <c r="A480" s="136" t="s">
        <v>2495</v>
      </c>
      <c r="B480" s="137" t="s">
        <v>2498</v>
      </c>
      <c r="C480" s="138" t="s">
        <v>939</v>
      </c>
      <c r="D480" s="138" t="s">
        <v>811</v>
      </c>
      <c r="E480" s="136" t="s">
        <v>1571</v>
      </c>
      <c r="F480" s="419">
        <v>43100</v>
      </c>
      <c r="G480" s="140">
        <v>1756.1921000000002</v>
      </c>
      <c r="H480" s="140">
        <v>16</v>
      </c>
      <c r="I480" s="140">
        <v>1.9152100000000001</v>
      </c>
      <c r="J480" s="140">
        <v>13.481110000000001</v>
      </c>
      <c r="K480" s="140">
        <v>480.85813000000002</v>
      </c>
      <c r="L480" s="140">
        <v>547.46046999999999</v>
      </c>
    </row>
    <row r="481" spans="1:12" ht="21">
      <c r="A481" s="138" t="s">
        <v>2497</v>
      </c>
      <c r="B481" s="135" t="s">
        <v>2500</v>
      </c>
      <c r="C481" s="136" t="s">
        <v>603</v>
      </c>
      <c r="D481" s="136" t="s">
        <v>596</v>
      </c>
      <c r="E481" s="138" t="s">
        <v>1571</v>
      </c>
      <c r="F481" s="420">
        <v>43100</v>
      </c>
      <c r="G481" s="141">
        <v>1752.87032</v>
      </c>
      <c r="H481" s="141">
        <v>4</v>
      </c>
      <c r="I481" s="141">
        <v>20.707329999999999</v>
      </c>
      <c r="J481" s="141">
        <v>87.114289999999997</v>
      </c>
      <c r="K481" s="141">
        <v>164.60444999999999</v>
      </c>
      <c r="L481" s="141">
        <v>307.95436999999998</v>
      </c>
    </row>
    <row r="482" spans="1:12" ht="31.5">
      <c r="A482" s="136" t="s">
        <v>2499</v>
      </c>
      <c r="B482" s="137" t="s">
        <v>2502</v>
      </c>
      <c r="C482" s="138" t="s">
        <v>929</v>
      </c>
      <c r="D482" s="138" t="s">
        <v>811</v>
      </c>
      <c r="E482" s="136" t="s">
        <v>1571</v>
      </c>
      <c r="F482" s="419">
        <v>43100</v>
      </c>
      <c r="G482" s="140">
        <v>1748.8583190000002</v>
      </c>
      <c r="H482" s="140">
        <v>25</v>
      </c>
      <c r="I482" s="143" t="s">
        <v>189</v>
      </c>
      <c r="J482" s="140">
        <v>128.63715999999999</v>
      </c>
      <c r="K482" s="140">
        <v>943.57188000000008</v>
      </c>
      <c r="L482" s="140">
        <v>1091.2817500000001</v>
      </c>
    </row>
    <row r="483" spans="1:12" ht="31.5">
      <c r="A483" s="138" t="s">
        <v>2501</v>
      </c>
      <c r="B483" s="135" t="s">
        <v>2504</v>
      </c>
      <c r="C483" s="136" t="s">
        <v>1468</v>
      </c>
      <c r="D483" s="136" t="s">
        <v>811</v>
      </c>
      <c r="E483" s="138" t="s">
        <v>1571</v>
      </c>
      <c r="F483" s="420">
        <v>43100</v>
      </c>
      <c r="G483" s="141">
        <v>1745.5644</v>
      </c>
      <c r="H483" s="141">
        <v>3</v>
      </c>
      <c r="I483" s="142" t="s">
        <v>189</v>
      </c>
      <c r="J483" s="141">
        <v>83.322059999999993</v>
      </c>
      <c r="K483" s="141">
        <v>148.17382999999998</v>
      </c>
      <c r="L483" s="141">
        <v>238.81879999999998</v>
      </c>
    </row>
    <row r="484" spans="1:12" ht="31.5">
      <c r="A484" s="136" t="s">
        <v>2503</v>
      </c>
      <c r="B484" s="137" t="s">
        <v>2506</v>
      </c>
      <c r="C484" s="138" t="s">
        <v>925</v>
      </c>
      <c r="D484" s="138" t="s">
        <v>811</v>
      </c>
      <c r="E484" s="136" t="s">
        <v>1571</v>
      </c>
      <c r="F484" s="419">
        <v>43100</v>
      </c>
      <c r="G484" s="140">
        <v>1725.34302</v>
      </c>
      <c r="H484" s="143" t="s">
        <v>189</v>
      </c>
      <c r="I484" s="140">
        <v>15.27538</v>
      </c>
      <c r="J484" s="140">
        <v>39.279540000000004</v>
      </c>
      <c r="K484" s="143" t="s">
        <v>189</v>
      </c>
      <c r="L484" s="140">
        <v>54.554920000000003</v>
      </c>
    </row>
    <row r="485" spans="1:12" ht="21">
      <c r="A485" s="138" t="s">
        <v>2505</v>
      </c>
      <c r="B485" s="135" t="s">
        <v>2508</v>
      </c>
      <c r="C485" s="136" t="s">
        <v>1250</v>
      </c>
      <c r="D485" s="136" t="s">
        <v>1251</v>
      </c>
      <c r="E485" s="138" t="s">
        <v>1571</v>
      </c>
      <c r="F485" s="420">
        <v>43100</v>
      </c>
      <c r="G485" s="141">
        <v>1721.3054299999999</v>
      </c>
      <c r="H485" s="141">
        <v>9</v>
      </c>
      <c r="I485" s="142" t="s">
        <v>189</v>
      </c>
      <c r="J485" s="141">
        <v>8.6270799999999994</v>
      </c>
      <c r="K485" s="141">
        <v>319.43014999999997</v>
      </c>
      <c r="L485" s="141">
        <v>344.71719999999999</v>
      </c>
    </row>
    <row r="486" spans="1:12" ht="31.5">
      <c r="A486" s="136" t="s">
        <v>2507</v>
      </c>
      <c r="B486" s="137" t="s">
        <v>2510</v>
      </c>
      <c r="C486" s="138" t="s">
        <v>793</v>
      </c>
      <c r="D486" s="138" t="s">
        <v>789</v>
      </c>
      <c r="E486" s="136" t="s">
        <v>1571</v>
      </c>
      <c r="F486" s="419">
        <v>43100</v>
      </c>
      <c r="G486" s="140">
        <v>1720.2091</v>
      </c>
      <c r="H486" s="140">
        <v>8</v>
      </c>
      <c r="I486" s="140"/>
      <c r="J486" s="140">
        <v>-10.406369999999999</v>
      </c>
      <c r="K486" s="140">
        <v>366.23379999999997</v>
      </c>
      <c r="L486" s="140">
        <v>450.90539900000005</v>
      </c>
    </row>
    <row r="487" spans="1:12" ht="42">
      <c r="A487" s="138" t="s">
        <v>2509</v>
      </c>
      <c r="B487" s="135" t="s">
        <v>2512</v>
      </c>
      <c r="C487" s="136" t="s">
        <v>1017</v>
      </c>
      <c r="D487" s="136" t="s">
        <v>1013</v>
      </c>
      <c r="E487" s="138" t="s">
        <v>1571</v>
      </c>
      <c r="F487" s="420">
        <v>43100</v>
      </c>
      <c r="G487" s="141">
        <v>1714.80798</v>
      </c>
      <c r="H487" s="141">
        <v>4</v>
      </c>
      <c r="I487" s="141">
        <v>4.6507200000000006</v>
      </c>
      <c r="J487" s="141">
        <v>14.727290000000002</v>
      </c>
      <c r="K487" s="141">
        <v>98.58914</v>
      </c>
      <c r="L487" s="141">
        <v>133.34623000000002</v>
      </c>
    </row>
    <row r="488" spans="1:12" ht="42">
      <c r="A488" s="136" t="s">
        <v>2511</v>
      </c>
      <c r="B488" s="137" t="s">
        <v>2514</v>
      </c>
      <c r="C488" s="138" t="s">
        <v>965</v>
      </c>
      <c r="D488" s="138" t="s">
        <v>811</v>
      </c>
      <c r="E488" s="136" t="s">
        <v>1571</v>
      </c>
      <c r="F488" s="419">
        <v>43100</v>
      </c>
      <c r="G488" s="140">
        <v>1711.3086800000001</v>
      </c>
      <c r="H488" s="140">
        <v>8</v>
      </c>
      <c r="I488" s="140">
        <v>5.7050200000000002</v>
      </c>
      <c r="J488" s="140">
        <v>29.69333</v>
      </c>
      <c r="K488" s="140">
        <v>452.30338</v>
      </c>
      <c r="L488" s="140">
        <v>643.383419</v>
      </c>
    </row>
    <row r="489" spans="1:12">
      <c r="A489" s="138" t="s">
        <v>2513</v>
      </c>
      <c r="B489" s="135" t="s">
        <v>2516</v>
      </c>
      <c r="C489" s="136" t="s">
        <v>1508</v>
      </c>
      <c r="D489" s="136" t="s">
        <v>1501</v>
      </c>
      <c r="E489" s="138" t="s">
        <v>1571</v>
      </c>
      <c r="F489" s="420">
        <v>43100</v>
      </c>
      <c r="G489" s="141">
        <v>1706.1524199999999</v>
      </c>
      <c r="H489" s="141">
        <v>9</v>
      </c>
      <c r="I489" s="141">
        <v>5.091660000000001</v>
      </c>
      <c r="J489" s="141">
        <v>5.32864</v>
      </c>
      <c r="K489" s="141">
        <v>292.99511999999999</v>
      </c>
      <c r="L489" s="141">
        <v>330.83081900000002</v>
      </c>
    </row>
    <row r="490" spans="1:12" ht="42">
      <c r="A490" s="136" t="s">
        <v>2515</v>
      </c>
      <c r="B490" s="137" t="s">
        <v>2518</v>
      </c>
      <c r="C490" s="138" t="s">
        <v>950</v>
      </c>
      <c r="D490" s="138" t="s">
        <v>811</v>
      </c>
      <c r="E490" s="136" t="s">
        <v>1571</v>
      </c>
      <c r="F490" s="419">
        <v>43100</v>
      </c>
      <c r="G490" s="140">
        <v>1690.56897</v>
      </c>
      <c r="H490" s="140">
        <v>13</v>
      </c>
      <c r="I490" s="140">
        <v>0.2717</v>
      </c>
      <c r="J490" s="140">
        <v>19.98227</v>
      </c>
      <c r="K490" s="140">
        <v>468.50469000000004</v>
      </c>
      <c r="L490" s="140">
        <v>522.86111000000005</v>
      </c>
    </row>
    <row r="491" spans="1:12" ht="31.5">
      <c r="A491" s="138" t="s">
        <v>2517</v>
      </c>
      <c r="B491" s="135" t="s">
        <v>2520</v>
      </c>
      <c r="C491" s="136" t="s">
        <v>1195</v>
      </c>
      <c r="D491" s="136" t="s">
        <v>1190</v>
      </c>
      <c r="E491" s="138" t="s">
        <v>1571</v>
      </c>
      <c r="F491" s="420">
        <v>43100</v>
      </c>
      <c r="G491" s="141">
        <v>1662.4933700000001</v>
      </c>
      <c r="H491" s="141">
        <v>2</v>
      </c>
      <c r="I491" s="141">
        <v>2.20668</v>
      </c>
      <c r="J491" s="141">
        <v>9.2864300000000011</v>
      </c>
      <c r="K491" s="141">
        <v>172.57954000000001</v>
      </c>
      <c r="L491" s="141">
        <v>184.37625</v>
      </c>
    </row>
    <row r="492" spans="1:12" ht="21">
      <c r="A492" s="136" t="s">
        <v>2519</v>
      </c>
      <c r="B492" s="137" t="s">
        <v>2522</v>
      </c>
      <c r="C492" s="138" t="s">
        <v>910</v>
      </c>
      <c r="D492" s="138" t="s">
        <v>811</v>
      </c>
      <c r="E492" s="136" t="s">
        <v>1571</v>
      </c>
      <c r="F492" s="419">
        <v>43100</v>
      </c>
      <c r="G492" s="140">
        <v>1657.9553800000001</v>
      </c>
      <c r="H492" s="140">
        <v>8</v>
      </c>
      <c r="I492" s="140">
        <v>11.336240000000002</v>
      </c>
      <c r="J492" s="140">
        <v>45.863340000000008</v>
      </c>
      <c r="K492" s="140">
        <v>356.50736999999998</v>
      </c>
      <c r="L492" s="140">
        <v>420.39122000000003</v>
      </c>
    </row>
    <row r="493" spans="1:12" ht="21">
      <c r="A493" s="138" t="s">
        <v>2521</v>
      </c>
      <c r="B493" s="135" t="s">
        <v>2524</v>
      </c>
      <c r="C493" s="136" t="s">
        <v>712</v>
      </c>
      <c r="D493" s="136" t="s">
        <v>713</v>
      </c>
      <c r="E493" s="138" t="s">
        <v>1571</v>
      </c>
      <c r="F493" s="420">
        <v>43100</v>
      </c>
      <c r="G493" s="141">
        <v>1651.1684399999999</v>
      </c>
      <c r="H493" s="141">
        <v>11</v>
      </c>
      <c r="I493" s="142" t="s">
        <v>189</v>
      </c>
      <c r="J493" s="141">
        <v>-1.7119600000000001</v>
      </c>
      <c r="K493" s="141">
        <v>442.63987000000003</v>
      </c>
      <c r="L493" s="141">
        <v>458.41602900000004</v>
      </c>
    </row>
    <row r="494" spans="1:12" ht="31.5">
      <c r="A494" s="136" t="s">
        <v>2523</v>
      </c>
      <c r="B494" s="137" t="s">
        <v>2526</v>
      </c>
      <c r="C494" s="138" t="s">
        <v>1139</v>
      </c>
      <c r="D494" s="138" t="s">
        <v>1135</v>
      </c>
      <c r="E494" s="136" t="s">
        <v>1571</v>
      </c>
      <c r="F494" s="419">
        <v>43100</v>
      </c>
      <c r="G494" s="140">
        <v>1649.7957900000001</v>
      </c>
      <c r="H494" s="140">
        <v>19</v>
      </c>
      <c r="I494" s="140">
        <v>46.656480000000002</v>
      </c>
      <c r="J494" s="140">
        <v>147.74551000000002</v>
      </c>
      <c r="K494" s="140">
        <v>654.3602699999999</v>
      </c>
      <c r="L494" s="140">
        <v>939.32582000000014</v>
      </c>
    </row>
    <row r="495" spans="1:12" ht="21">
      <c r="A495" s="138" t="s">
        <v>2525</v>
      </c>
      <c r="B495" s="135" t="s">
        <v>2528</v>
      </c>
      <c r="C495" s="136" t="s">
        <v>974</v>
      </c>
      <c r="D495" s="136" t="s">
        <v>975</v>
      </c>
      <c r="E495" s="138" t="s">
        <v>1571</v>
      </c>
      <c r="F495" s="420">
        <v>43100</v>
      </c>
      <c r="G495" s="141">
        <v>1645.94571</v>
      </c>
      <c r="H495" s="141">
        <v>12</v>
      </c>
      <c r="I495" s="141">
        <v>17.496809999999996</v>
      </c>
      <c r="J495" s="141">
        <v>121.7621</v>
      </c>
      <c r="K495" s="141">
        <v>589.49380000000008</v>
      </c>
      <c r="L495" s="141">
        <v>889.81173000000001</v>
      </c>
    </row>
    <row r="496" spans="1:12" ht="21">
      <c r="A496" s="136" t="s">
        <v>2527</v>
      </c>
      <c r="B496" s="137" t="s">
        <v>2530</v>
      </c>
      <c r="C496" s="138" t="s">
        <v>595</v>
      </c>
      <c r="D496" s="138" t="s">
        <v>596</v>
      </c>
      <c r="E496" s="136" t="s">
        <v>1571</v>
      </c>
      <c r="F496" s="419">
        <v>43100</v>
      </c>
      <c r="G496" s="140">
        <v>1640.9451800000002</v>
      </c>
      <c r="H496" s="140">
        <v>20</v>
      </c>
      <c r="I496" s="143" t="s">
        <v>189</v>
      </c>
      <c r="J496" s="140">
        <v>16.504348000000004</v>
      </c>
      <c r="K496" s="140">
        <v>559.18821000000003</v>
      </c>
      <c r="L496" s="140">
        <v>625.24078799999995</v>
      </c>
    </row>
    <row r="497" spans="1:12" ht="31.5">
      <c r="A497" s="138" t="s">
        <v>2529</v>
      </c>
      <c r="B497" s="135" t="s">
        <v>2532</v>
      </c>
      <c r="C497" s="136" t="s">
        <v>1370</v>
      </c>
      <c r="D497" s="136" t="s">
        <v>1368</v>
      </c>
      <c r="E497" s="138" t="s">
        <v>1571</v>
      </c>
      <c r="F497" s="420">
        <v>43100</v>
      </c>
      <c r="G497" s="141">
        <v>1630.3775500000002</v>
      </c>
      <c r="H497" s="141">
        <v>6</v>
      </c>
      <c r="I497" s="141">
        <v>21.58004</v>
      </c>
      <c r="J497" s="141">
        <v>90.816020000000009</v>
      </c>
      <c r="K497" s="141">
        <v>197.41485999999998</v>
      </c>
      <c r="L497" s="141">
        <v>345.93470900000005</v>
      </c>
    </row>
    <row r="498" spans="1:12" ht="42">
      <c r="A498" s="136" t="s">
        <v>2531</v>
      </c>
      <c r="B498" s="137" t="s">
        <v>2534</v>
      </c>
      <c r="C498" s="138" t="s">
        <v>1334</v>
      </c>
      <c r="D498" s="138" t="s">
        <v>1320</v>
      </c>
      <c r="E498" s="136" t="s">
        <v>1571</v>
      </c>
      <c r="F498" s="419">
        <v>43100</v>
      </c>
      <c r="G498" s="140">
        <v>1616.5715500000001</v>
      </c>
      <c r="H498" s="140">
        <v>9</v>
      </c>
      <c r="I498" s="140">
        <v>6.1803900000000001</v>
      </c>
      <c r="J498" s="140">
        <v>26.009139999999999</v>
      </c>
      <c r="K498" s="140">
        <v>381.98696000000001</v>
      </c>
      <c r="L498" s="140">
        <v>546.00707999999997</v>
      </c>
    </row>
    <row r="499" spans="1:12">
      <c r="A499" s="138" t="s">
        <v>2533</v>
      </c>
      <c r="B499" s="135" t="s">
        <v>2536</v>
      </c>
      <c r="C499" s="136" t="s">
        <v>909</v>
      </c>
      <c r="D499" s="136" t="s">
        <v>811</v>
      </c>
      <c r="E499" s="138" t="s">
        <v>1571</v>
      </c>
      <c r="F499" s="420">
        <v>42735</v>
      </c>
      <c r="G499" s="141">
        <v>1603.3813700000001</v>
      </c>
      <c r="H499" s="141">
        <v>12</v>
      </c>
      <c r="I499" s="141">
        <v>19.103639999999999</v>
      </c>
      <c r="J499" s="141">
        <v>60.494860000000003</v>
      </c>
      <c r="K499" s="141">
        <v>403.78403000000003</v>
      </c>
      <c r="L499" s="141">
        <v>510.83503999999999</v>
      </c>
    </row>
    <row r="500" spans="1:12" ht="31.5">
      <c r="A500" s="136" t="s">
        <v>2535</v>
      </c>
      <c r="B500" s="137" t="s">
        <v>2538</v>
      </c>
      <c r="C500" s="138" t="s">
        <v>1021</v>
      </c>
      <c r="D500" s="138" t="s">
        <v>1501</v>
      </c>
      <c r="E500" s="136" t="s">
        <v>1571</v>
      </c>
      <c r="F500" s="419">
        <v>43100</v>
      </c>
      <c r="G500" s="140">
        <v>1600.43532</v>
      </c>
      <c r="H500" s="140">
        <v>7</v>
      </c>
      <c r="I500" s="140">
        <v>11.025630000000001</v>
      </c>
      <c r="J500" s="140">
        <v>68.581280000000007</v>
      </c>
      <c r="K500" s="140">
        <v>304.78613999999999</v>
      </c>
      <c r="L500" s="140">
        <v>402.92141000000004</v>
      </c>
    </row>
    <row r="501" spans="1:12" ht="21">
      <c r="A501" s="138" t="s">
        <v>2537</v>
      </c>
      <c r="B501" s="135" t="s">
        <v>2540</v>
      </c>
      <c r="C501" s="136" t="s">
        <v>1160</v>
      </c>
      <c r="D501" s="136" t="s">
        <v>1156</v>
      </c>
      <c r="E501" s="138" t="s">
        <v>1571</v>
      </c>
      <c r="F501" s="420">
        <v>43100</v>
      </c>
      <c r="G501" s="141">
        <v>1584.17704</v>
      </c>
      <c r="H501" s="141">
        <v>4</v>
      </c>
      <c r="I501" s="141">
        <v>33.750109999999999</v>
      </c>
      <c r="J501" s="141">
        <v>141.93164999999999</v>
      </c>
      <c r="K501" s="141">
        <v>523.38333999999998</v>
      </c>
      <c r="L501" s="141">
        <v>712.45218</v>
      </c>
    </row>
    <row r="502" spans="1:12" ht="21">
      <c r="A502" s="136" t="s">
        <v>2539</v>
      </c>
      <c r="B502" s="139" t="s">
        <v>2542</v>
      </c>
      <c r="C502" s="138" t="s">
        <v>906</v>
      </c>
      <c r="D502" s="138" t="s">
        <v>811</v>
      </c>
      <c r="E502" s="136" t="s">
        <v>1571</v>
      </c>
      <c r="F502" s="419">
        <v>43100</v>
      </c>
      <c r="G502" s="140">
        <v>1574.32401</v>
      </c>
      <c r="H502" s="140">
        <v>9</v>
      </c>
      <c r="I502" s="140">
        <v>36.733810000000005</v>
      </c>
      <c r="J502" s="140">
        <v>116.32373</v>
      </c>
      <c r="K502" s="140">
        <v>519.89150000000006</v>
      </c>
      <c r="L502" s="140">
        <v>698.58735000000013</v>
      </c>
    </row>
    <row r="503" spans="1:12" ht="31.5">
      <c r="A503" s="138" t="s">
        <v>2541</v>
      </c>
      <c r="B503" s="135" t="s">
        <v>2544</v>
      </c>
      <c r="C503" s="136" t="s">
        <v>1433</v>
      </c>
      <c r="D503" s="136" t="s">
        <v>1429</v>
      </c>
      <c r="E503" s="138" t="s">
        <v>1571</v>
      </c>
      <c r="F503" s="420">
        <v>42735</v>
      </c>
      <c r="G503" s="141">
        <v>1556.6564499999999</v>
      </c>
      <c r="H503" s="141">
        <v>8</v>
      </c>
      <c r="I503" s="141">
        <v>0.27648999999999996</v>
      </c>
      <c r="J503" s="141">
        <v>0.78999000000000008</v>
      </c>
      <c r="K503" s="141">
        <v>235.01032999999998</v>
      </c>
      <c r="L503" s="141">
        <v>248.73454999999998</v>
      </c>
    </row>
    <row r="504" spans="1:12" ht="42">
      <c r="A504" s="136" t="s">
        <v>2543</v>
      </c>
      <c r="B504" s="137" t="s">
        <v>2546</v>
      </c>
      <c r="C504" s="138" t="s">
        <v>913</v>
      </c>
      <c r="D504" s="138" t="s">
        <v>811</v>
      </c>
      <c r="E504" s="136" t="s">
        <v>1571</v>
      </c>
      <c r="F504" s="419">
        <v>42735</v>
      </c>
      <c r="G504" s="140">
        <v>1526.5959800000001</v>
      </c>
      <c r="H504" s="140">
        <v>2</v>
      </c>
      <c r="I504" s="140">
        <v>37.472080000000005</v>
      </c>
      <c r="J504" s="140">
        <v>155.6925</v>
      </c>
      <c r="K504" s="140">
        <v>134.26843</v>
      </c>
      <c r="L504" s="140">
        <v>334.54349000000008</v>
      </c>
    </row>
    <row r="505" spans="1:12" ht="21">
      <c r="A505" s="138" t="s">
        <v>2545</v>
      </c>
      <c r="B505" s="135" t="s">
        <v>2548</v>
      </c>
      <c r="C505" s="136" t="s">
        <v>1478</v>
      </c>
      <c r="D505" s="136" t="s">
        <v>1474</v>
      </c>
      <c r="E505" s="138" t="s">
        <v>1571</v>
      </c>
      <c r="F505" s="420">
        <v>43100</v>
      </c>
      <c r="G505" s="141">
        <v>1526.4848400000001</v>
      </c>
      <c r="H505" s="141">
        <v>15</v>
      </c>
      <c r="I505" s="141">
        <v>0.37391999999999997</v>
      </c>
      <c r="J505" s="141">
        <v>1.1840999999999999</v>
      </c>
      <c r="K505" s="141">
        <v>533.38336000000015</v>
      </c>
      <c r="L505" s="141">
        <v>596.3904500000001</v>
      </c>
    </row>
    <row r="506" spans="1:12" ht="31.5">
      <c r="A506" s="136" t="s">
        <v>2547</v>
      </c>
      <c r="B506" s="137" t="s">
        <v>2550</v>
      </c>
      <c r="C506" s="138" t="s">
        <v>629</v>
      </c>
      <c r="D506" s="138" t="s">
        <v>1825</v>
      </c>
      <c r="E506" s="136" t="s">
        <v>1571</v>
      </c>
      <c r="F506" s="419">
        <v>42735</v>
      </c>
      <c r="G506" s="140">
        <v>1522.9797100000001</v>
      </c>
      <c r="H506" s="140">
        <v>5</v>
      </c>
      <c r="I506" s="140">
        <v>2.62019</v>
      </c>
      <c r="J506" s="140">
        <v>14.708740000000002</v>
      </c>
      <c r="K506" s="140">
        <v>88.839749999999995</v>
      </c>
      <c r="L506" s="140">
        <v>109.23737000000001</v>
      </c>
    </row>
    <row r="507" spans="1:12" ht="31.5">
      <c r="A507" s="138" t="s">
        <v>2549</v>
      </c>
      <c r="B507" s="135" t="s">
        <v>2552</v>
      </c>
      <c r="C507" s="136" t="s">
        <v>1504</v>
      </c>
      <c r="D507" s="136" t="s">
        <v>1501</v>
      </c>
      <c r="E507" s="138" t="s">
        <v>1571</v>
      </c>
      <c r="F507" s="420">
        <v>43100</v>
      </c>
      <c r="G507" s="141">
        <v>1505.5128500000001</v>
      </c>
      <c r="H507" s="141">
        <v>12</v>
      </c>
      <c r="I507" s="142" t="s">
        <v>189</v>
      </c>
      <c r="J507" s="141">
        <v>22.82666</v>
      </c>
      <c r="K507" s="141">
        <v>442.56610999999998</v>
      </c>
      <c r="L507" s="141">
        <v>478.57924000000003</v>
      </c>
    </row>
    <row r="508" spans="1:12" ht="31.5">
      <c r="A508" s="136" t="s">
        <v>2551</v>
      </c>
      <c r="B508" s="137" t="s">
        <v>2554</v>
      </c>
      <c r="C508" s="138" t="s">
        <v>859</v>
      </c>
      <c r="D508" s="138" t="s">
        <v>811</v>
      </c>
      <c r="E508" s="136" t="s">
        <v>1571</v>
      </c>
      <c r="F508" s="419">
        <v>43100</v>
      </c>
      <c r="G508" s="140">
        <v>1495.6596999999999</v>
      </c>
      <c r="H508" s="140">
        <v>5</v>
      </c>
      <c r="I508" s="140">
        <v>36.330100000000002</v>
      </c>
      <c r="J508" s="140">
        <v>153.85093000000001</v>
      </c>
      <c r="K508" s="140">
        <v>198.99513000000002</v>
      </c>
      <c r="L508" s="140">
        <v>398.28285999999997</v>
      </c>
    </row>
    <row r="509" spans="1:12" ht="42">
      <c r="A509" s="138" t="s">
        <v>2553</v>
      </c>
      <c r="B509" s="135" t="s">
        <v>2556</v>
      </c>
      <c r="C509" s="136" t="s">
        <v>1183</v>
      </c>
      <c r="D509" s="136" t="s">
        <v>1184</v>
      </c>
      <c r="E509" s="138" t="s">
        <v>1571</v>
      </c>
      <c r="F509" s="420">
        <v>43100</v>
      </c>
      <c r="G509" s="141">
        <v>1492.3694499999999</v>
      </c>
      <c r="H509" s="141">
        <v>4</v>
      </c>
      <c r="I509" s="141"/>
      <c r="J509" s="141">
        <v>14.442080000000001</v>
      </c>
      <c r="K509" s="141">
        <v>232.83846</v>
      </c>
      <c r="L509" s="141">
        <v>261.55928</v>
      </c>
    </row>
    <row r="510" spans="1:12" ht="42">
      <c r="A510" s="136" t="s">
        <v>2555</v>
      </c>
      <c r="B510" s="137" t="s">
        <v>2558</v>
      </c>
      <c r="C510" s="138" t="s">
        <v>1529</v>
      </c>
      <c r="D510" s="138" t="s">
        <v>1343</v>
      </c>
      <c r="E510" s="136" t="s">
        <v>1571</v>
      </c>
      <c r="F510" s="419">
        <v>43100</v>
      </c>
      <c r="G510" s="140">
        <v>1489.4792500000001</v>
      </c>
      <c r="H510" s="140">
        <v>11</v>
      </c>
      <c r="I510" s="140">
        <v>2.2688500000000005</v>
      </c>
      <c r="J510" s="140">
        <v>90.961010000000002</v>
      </c>
      <c r="K510" s="140">
        <v>489.68652000000003</v>
      </c>
      <c r="L510" s="140">
        <v>656.24596999999994</v>
      </c>
    </row>
    <row r="511" spans="1:12" ht="31.5">
      <c r="A511" s="138" t="s">
        <v>2557</v>
      </c>
      <c r="B511" s="135" t="s">
        <v>2560</v>
      </c>
      <c r="C511" s="136" t="s">
        <v>1364</v>
      </c>
      <c r="D511" s="136" t="s">
        <v>1366</v>
      </c>
      <c r="E511" s="138" t="s">
        <v>1571</v>
      </c>
      <c r="F511" s="420">
        <v>43100</v>
      </c>
      <c r="G511" s="141">
        <v>1476.36491</v>
      </c>
      <c r="H511" s="141">
        <v>14</v>
      </c>
      <c r="I511" s="142" t="s">
        <v>189</v>
      </c>
      <c r="J511" s="141">
        <v>45.24568</v>
      </c>
      <c r="K511" s="141">
        <v>574.44771000000003</v>
      </c>
      <c r="L511" s="141">
        <v>630.39102000000003</v>
      </c>
    </row>
    <row r="512" spans="1:12" ht="42">
      <c r="A512" s="136" t="s">
        <v>2559</v>
      </c>
      <c r="B512" s="137" t="s">
        <v>2562</v>
      </c>
      <c r="C512" s="138" t="s">
        <v>1144</v>
      </c>
      <c r="D512" s="138" t="s">
        <v>1142</v>
      </c>
      <c r="E512" s="136" t="s">
        <v>1571</v>
      </c>
      <c r="F512" s="419">
        <v>43100</v>
      </c>
      <c r="G512" s="140">
        <v>1457.5846700000002</v>
      </c>
      <c r="H512" s="140">
        <v>7</v>
      </c>
      <c r="I512" s="140">
        <v>60.9146</v>
      </c>
      <c r="J512" s="140">
        <v>185.99681999999999</v>
      </c>
      <c r="K512" s="140">
        <v>233.11068</v>
      </c>
      <c r="L512" s="140">
        <v>623.98332000000005</v>
      </c>
    </row>
    <row r="513" spans="1:12" ht="21">
      <c r="A513" s="138" t="s">
        <v>2561</v>
      </c>
      <c r="B513" s="135" t="s">
        <v>2564</v>
      </c>
      <c r="C513" s="136" t="s">
        <v>633</v>
      </c>
      <c r="D513" s="136" t="s">
        <v>1825</v>
      </c>
      <c r="E513" s="138" t="s">
        <v>1571</v>
      </c>
      <c r="F513" s="420">
        <v>43100</v>
      </c>
      <c r="G513" s="141">
        <v>1436.3003690000003</v>
      </c>
      <c r="H513" s="141">
        <v>10</v>
      </c>
      <c r="I513" s="141">
        <v>4.6194499999999996</v>
      </c>
      <c r="J513" s="141">
        <v>16.4922</v>
      </c>
      <c r="K513" s="141">
        <v>254.86860000000001</v>
      </c>
      <c r="L513" s="141">
        <v>282.64272000000005</v>
      </c>
    </row>
    <row r="514" spans="1:12" ht="31.5">
      <c r="A514" s="136" t="s">
        <v>2563</v>
      </c>
      <c r="B514" s="137" t="s">
        <v>2566</v>
      </c>
      <c r="C514" s="138" t="s">
        <v>1201</v>
      </c>
      <c r="D514" s="138" t="s">
        <v>1184</v>
      </c>
      <c r="E514" s="136" t="s">
        <v>1571</v>
      </c>
      <c r="F514" s="419">
        <v>43100</v>
      </c>
      <c r="G514" s="140">
        <v>1428.2598500000001</v>
      </c>
      <c r="H514" s="140">
        <v>17</v>
      </c>
      <c r="I514" s="143" t="s">
        <v>189</v>
      </c>
      <c r="J514" s="140">
        <v>28.419700000000002</v>
      </c>
      <c r="K514" s="140">
        <v>552.62464</v>
      </c>
      <c r="L514" s="140">
        <v>666.04486900000006</v>
      </c>
    </row>
    <row r="515" spans="1:12">
      <c r="A515" s="138" t="s">
        <v>2565</v>
      </c>
      <c r="B515" s="135" t="s">
        <v>2568</v>
      </c>
      <c r="C515" s="136" t="s">
        <v>609</v>
      </c>
      <c r="D515" s="136" t="s">
        <v>596</v>
      </c>
      <c r="E515" s="138" t="s">
        <v>1571</v>
      </c>
      <c r="F515" s="420">
        <v>43100</v>
      </c>
      <c r="G515" s="141">
        <v>1411.3132900000001</v>
      </c>
      <c r="H515" s="141">
        <v>12</v>
      </c>
      <c r="I515" s="141">
        <v>27.1312</v>
      </c>
      <c r="J515" s="141">
        <v>81.241690000000006</v>
      </c>
      <c r="K515" s="141">
        <v>371.13196000000005</v>
      </c>
      <c r="L515" s="141">
        <v>580.42456000000004</v>
      </c>
    </row>
    <row r="516" spans="1:12" ht="21">
      <c r="A516" s="136" t="s">
        <v>2567</v>
      </c>
      <c r="B516" s="137" t="s">
        <v>2570</v>
      </c>
      <c r="C516" s="138" t="s">
        <v>1219</v>
      </c>
      <c r="D516" s="138" t="s">
        <v>1215</v>
      </c>
      <c r="E516" s="136" t="s">
        <v>1571</v>
      </c>
      <c r="F516" s="419">
        <v>43100</v>
      </c>
      <c r="G516" s="140">
        <v>1401.2591900000002</v>
      </c>
      <c r="H516" s="140">
        <v>9</v>
      </c>
      <c r="I516" s="140">
        <v>9.43628</v>
      </c>
      <c r="J516" s="140">
        <v>86.591380000000001</v>
      </c>
      <c r="K516" s="140">
        <v>292.31759000000005</v>
      </c>
      <c r="L516" s="140">
        <v>407.34562</v>
      </c>
    </row>
    <row r="517" spans="1:12" ht="21">
      <c r="A517" s="138" t="s">
        <v>2569</v>
      </c>
      <c r="B517" s="135" t="s">
        <v>2572</v>
      </c>
      <c r="C517" s="136" t="s">
        <v>1362</v>
      </c>
      <c r="D517" s="136" t="s">
        <v>1366</v>
      </c>
      <c r="E517" s="138" t="s">
        <v>1571</v>
      </c>
      <c r="F517" s="420">
        <v>43100</v>
      </c>
      <c r="G517" s="141">
        <v>1392.7993000000001</v>
      </c>
      <c r="H517" s="141">
        <v>8</v>
      </c>
      <c r="I517" s="141">
        <v>20.165710000000001</v>
      </c>
      <c r="J517" s="141">
        <v>84.864039999999989</v>
      </c>
      <c r="K517" s="141">
        <v>253.96432999999999</v>
      </c>
      <c r="L517" s="141">
        <v>397.41243000000009</v>
      </c>
    </row>
    <row r="518" spans="1:12" ht="21">
      <c r="A518" s="136" t="s">
        <v>2571</v>
      </c>
      <c r="B518" s="137" t="s">
        <v>2574</v>
      </c>
      <c r="C518" s="138" t="s">
        <v>598</v>
      </c>
      <c r="D518" s="138" t="s">
        <v>596</v>
      </c>
      <c r="E518" s="136" t="s">
        <v>1571</v>
      </c>
      <c r="F518" s="419">
        <v>43100</v>
      </c>
      <c r="G518" s="140">
        <v>1376.9614799999999</v>
      </c>
      <c r="H518" s="140">
        <v>13</v>
      </c>
      <c r="I518" s="140">
        <v>-28.62968</v>
      </c>
      <c r="J518" s="140">
        <v>-34.033560000000001</v>
      </c>
      <c r="K518" s="140">
        <v>406.04111</v>
      </c>
      <c r="L518" s="140">
        <v>391.93064899999996</v>
      </c>
    </row>
    <row r="519" spans="1:12" ht="21">
      <c r="A519" s="138" t="s">
        <v>2573</v>
      </c>
      <c r="B519" s="135" t="s">
        <v>2576</v>
      </c>
      <c r="C519" s="136" t="s">
        <v>1253</v>
      </c>
      <c r="D519" s="136" t="s">
        <v>1266</v>
      </c>
      <c r="E519" s="138" t="s">
        <v>1571</v>
      </c>
      <c r="F519" s="420">
        <v>43100</v>
      </c>
      <c r="G519" s="141">
        <v>1375.2541900000001</v>
      </c>
      <c r="H519" s="141">
        <v>21</v>
      </c>
      <c r="I519" s="142" t="s">
        <v>189</v>
      </c>
      <c r="J519" s="141">
        <v>56.946530000000003</v>
      </c>
      <c r="K519" s="141">
        <v>761.24535000000014</v>
      </c>
      <c r="L519" s="141">
        <v>858.7654</v>
      </c>
    </row>
    <row r="520" spans="1:12">
      <c r="A520" s="136" t="s">
        <v>2575</v>
      </c>
      <c r="B520" s="137" t="s">
        <v>2578</v>
      </c>
      <c r="C520" s="138" t="s">
        <v>836</v>
      </c>
      <c r="D520" s="138" t="s">
        <v>811</v>
      </c>
      <c r="E520" s="136" t="s">
        <v>1571</v>
      </c>
      <c r="F520" s="419">
        <v>43100</v>
      </c>
      <c r="G520" s="140">
        <v>1372.6367</v>
      </c>
      <c r="H520" s="140">
        <v>16</v>
      </c>
      <c r="I520" s="140">
        <v>-2.8512</v>
      </c>
      <c r="J520" s="140">
        <v>69.313500000000005</v>
      </c>
      <c r="K520" s="140">
        <v>564.73786000000007</v>
      </c>
      <c r="L520" s="140">
        <v>739.50117999999998</v>
      </c>
    </row>
    <row r="521" spans="1:12">
      <c r="A521" s="138" t="s">
        <v>2577</v>
      </c>
      <c r="B521" s="135" t="s">
        <v>2580</v>
      </c>
      <c r="C521" s="136" t="s">
        <v>1111</v>
      </c>
      <c r="D521" s="136" t="s">
        <v>1112</v>
      </c>
      <c r="E521" s="138" t="s">
        <v>1571</v>
      </c>
      <c r="F521" s="420">
        <v>43100</v>
      </c>
      <c r="G521" s="141">
        <v>1370.9839400000001</v>
      </c>
      <c r="H521" s="141">
        <v>8</v>
      </c>
      <c r="I521" s="141">
        <v>2.6227499999999999</v>
      </c>
      <c r="J521" s="141">
        <v>22.213880000000003</v>
      </c>
      <c r="K521" s="141">
        <v>238.40719000000001</v>
      </c>
      <c r="L521" s="141">
        <v>279.62829000000005</v>
      </c>
    </row>
    <row r="522" spans="1:12" ht="42">
      <c r="A522" s="136" t="s">
        <v>2579</v>
      </c>
      <c r="B522" s="137" t="s">
        <v>2582</v>
      </c>
      <c r="C522" s="138" t="s">
        <v>1485</v>
      </c>
      <c r="D522" s="138" t="s">
        <v>1474</v>
      </c>
      <c r="E522" s="136" t="s">
        <v>1571</v>
      </c>
      <c r="F522" s="419">
        <v>43100</v>
      </c>
      <c r="G522" s="140">
        <v>1368.4251900000002</v>
      </c>
      <c r="H522" s="140">
        <v>13</v>
      </c>
      <c r="I522" s="140">
        <v>7.5756600000000009</v>
      </c>
      <c r="J522" s="140">
        <v>103.79495999999999</v>
      </c>
      <c r="K522" s="140">
        <v>432.52906000000002</v>
      </c>
      <c r="L522" s="140">
        <v>548.42908999999997</v>
      </c>
    </row>
    <row r="523" spans="1:12" ht="21">
      <c r="A523" s="138" t="s">
        <v>2581</v>
      </c>
      <c r="B523" s="135" t="s">
        <v>2584</v>
      </c>
      <c r="C523" s="136" t="s">
        <v>1022</v>
      </c>
      <c r="D523" s="136" t="s">
        <v>1023</v>
      </c>
      <c r="E523" s="138" t="s">
        <v>1571</v>
      </c>
      <c r="F523" s="420">
        <v>43100</v>
      </c>
      <c r="G523" s="141">
        <v>1367.2859699999999</v>
      </c>
      <c r="H523" s="141">
        <v>10</v>
      </c>
      <c r="I523" s="142" t="s">
        <v>189</v>
      </c>
      <c r="J523" s="141">
        <v>109.05620999999999</v>
      </c>
      <c r="K523" s="141">
        <v>481.72596000000004</v>
      </c>
      <c r="L523" s="141">
        <v>616.82456000000002</v>
      </c>
    </row>
    <row r="524" spans="1:12" ht="21">
      <c r="A524" s="136" t="s">
        <v>2583</v>
      </c>
      <c r="B524" s="139" t="s">
        <v>2586</v>
      </c>
      <c r="C524" s="138" t="s">
        <v>607</v>
      </c>
      <c r="D524" s="138" t="s">
        <v>596</v>
      </c>
      <c r="E524" s="136" t="s">
        <v>1571</v>
      </c>
      <c r="F524" s="419">
        <v>43100</v>
      </c>
      <c r="G524" s="140">
        <v>1366.20029</v>
      </c>
      <c r="H524" s="140">
        <v>9</v>
      </c>
      <c r="I524" s="140">
        <v>6.5928000000000004</v>
      </c>
      <c r="J524" s="140">
        <v>114.28256</v>
      </c>
      <c r="K524" s="140">
        <v>447.55051000000003</v>
      </c>
      <c r="L524" s="140">
        <v>570.19013000000007</v>
      </c>
    </row>
    <row r="525" spans="1:12">
      <c r="A525" s="138" t="s">
        <v>2585</v>
      </c>
      <c r="B525" s="135" t="s">
        <v>2588</v>
      </c>
      <c r="C525" s="136" t="s">
        <v>616</v>
      </c>
      <c r="D525" s="136" t="s">
        <v>596</v>
      </c>
      <c r="E525" s="138" t="s">
        <v>1571</v>
      </c>
      <c r="F525" s="420">
        <v>42004</v>
      </c>
      <c r="G525" s="141">
        <v>1355.9372800000001</v>
      </c>
      <c r="H525" s="141">
        <v>23</v>
      </c>
      <c r="I525" s="141"/>
      <c r="J525" s="141">
        <v>-39.968919999999997</v>
      </c>
      <c r="K525" s="141">
        <v>682.38814000000002</v>
      </c>
      <c r="L525" s="141">
        <v>705.90416900000002</v>
      </c>
    </row>
    <row r="526" spans="1:12">
      <c r="A526" s="136" t="s">
        <v>2587</v>
      </c>
      <c r="B526" s="137" t="s">
        <v>2590</v>
      </c>
      <c r="C526" s="138" t="s">
        <v>1048</v>
      </c>
      <c r="D526" s="138" t="s">
        <v>971</v>
      </c>
      <c r="E526" s="136" t="s">
        <v>1571</v>
      </c>
      <c r="F526" s="419">
        <v>43100</v>
      </c>
      <c r="G526" s="140">
        <v>1350.3377700000001</v>
      </c>
      <c r="H526" s="140">
        <v>4</v>
      </c>
      <c r="I526" s="140"/>
      <c r="J526" s="140">
        <v>13.655250000000001</v>
      </c>
      <c r="K526" s="140">
        <v>190.96357999999998</v>
      </c>
      <c r="L526" s="140">
        <v>228.2645</v>
      </c>
    </row>
    <row r="527" spans="1:12" ht="21">
      <c r="A527" s="138" t="s">
        <v>2589</v>
      </c>
      <c r="B527" s="135" t="s">
        <v>2592</v>
      </c>
      <c r="C527" s="136" t="s">
        <v>1528</v>
      </c>
      <c r="D527" s="136" t="s">
        <v>811</v>
      </c>
      <c r="E527" s="138" t="s">
        <v>1571</v>
      </c>
      <c r="F527" s="420">
        <v>42735</v>
      </c>
      <c r="G527" s="141">
        <v>1349.69928</v>
      </c>
      <c r="H527" s="141">
        <v>5</v>
      </c>
      <c r="I527" s="141"/>
      <c r="J527" s="141">
        <v>-236.30001999999999</v>
      </c>
      <c r="K527" s="141">
        <v>189.7534</v>
      </c>
      <c r="L527" s="141">
        <v>-65.415649000000002</v>
      </c>
    </row>
    <row r="528" spans="1:12" ht="31.5">
      <c r="A528" s="136" t="s">
        <v>2591</v>
      </c>
      <c r="B528" s="137" t="s">
        <v>2594</v>
      </c>
      <c r="C528" s="138" t="s">
        <v>1554</v>
      </c>
      <c r="D528" s="138" t="s">
        <v>1279</v>
      </c>
      <c r="E528" s="136" t="s">
        <v>1571</v>
      </c>
      <c r="F528" s="419">
        <v>43100</v>
      </c>
      <c r="G528" s="140">
        <v>1343.17391</v>
      </c>
      <c r="H528" s="140">
        <v>11</v>
      </c>
      <c r="I528" s="140">
        <v>27.385649999999998</v>
      </c>
      <c r="J528" s="140">
        <v>114.51526</v>
      </c>
      <c r="K528" s="140">
        <v>428.03575000000001</v>
      </c>
      <c r="L528" s="140">
        <v>590.7988600000001</v>
      </c>
    </row>
    <row r="529" spans="1:12" ht="31.5">
      <c r="A529" s="138" t="s">
        <v>2593</v>
      </c>
      <c r="B529" s="135" t="s">
        <v>2596</v>
      </c>
      <c r="C529" s="136" t="s">
        <v>646</v>
      </c>
      <c r="D529" s="136" t="s">
        <v>647</v>
      </c>
      <c r="E529" s="138" t="s">
        <v>1571</v>
      </c>
      <c r="F529" s="420">
        <v>43100</v>
      </c>
      <c r="G529" s="141">
        <v>1331.38355</v>
      </c>
      <c r="H529" s="141">
        <v>21</v>
      </c>
      <c r="I529" s="142" t="s">
        <v>189</v>
      </c>
      <c r="J529" s="141">
        <v>51.787289999999992</v>
      </c>
      <c r="K529" s="141">
        <v>681.58481000000006</v>
      </c>
      <c r="L529" s="141">
        <v>740.66548999999998</v>
      </c>
    </row>
    <row r="530" spans="1:12" ht="31.5">
      <c r="A530" s="136" t="s">
        <v>2595</v>
      </c>
      <c r="B530" s="137" t="s">
        <v>2598</v>
      </c>
      <c r="C530" s="138" t="s">
        <v>1296</v>
      </c>
      <c r="D530" s="138" t="s">
        <v>1266</v>
      </c>
      <c r="E530" s="136" t="s">
        <v>1571</v>
      </c>
      <c r="F530" s="419">
        <v>43100</v>
      </c>
      <c r="G530" s="140">
        <v>1328.8953900000001</v>
      </c>
      <c r="H530" s="140">
        <v>3</v>
      </c>
      <c r="I530" s="140">
        <v>6.1347299999999994</v>
      </c>
      <c r="J530" s="140">
        <v>51.959319999999998</v>
      </c>
      <c r="K530" s="140">
        <v>82.304029999999997</v>
      </c>
      <c r="L530" s="140">
        <v>207.62532999999999</v>
      </c>
    </row>
    <row r="531" spans="1:12" ht="42">
      <c r="A531" s="138" t="s">
        <v>2597</v>
      </c>
      <c r="B531" s="135" t="s">
        <v>2600</v>
      </c>
      <c r="C531" s="136" t="s">
        <v>1273</v>
      </c>
      <c r="D531" s="136" t="s">
        <v>1266</v>
      </c>
      <c r="E531" s="138" t="s">
        <v>1571</v>
      </c>
      <c r="F531" s="420">
        <v>43100</v>
      </c>
      <c r="G531" s="141">
        <v>1322.9138190000001</v>
      </c>
      <c r="H531" s="141">
        <v>4</v>
      </c>
      <c r="I531" s="141">
        <v>8.02041</v>
      </c>
      <c r="J531" s="141">
        <v>41.798819999999999</v>
      </c>
      <c r="K531" s="141">
        <v>190.76929000000001</v>
      </c>
      <c r="L531" s="141">
        <v>267.40733999999998</v>
      </c>
    </row>
    <row r="532" spans="1:12" ht="31.5">
      <c r="A532" s="136" t="s">
        <v>2599</v>
      </c>
      <c r="B532" s="137" t="s">
        <v>2602</v>
      </c>
      <c r="C532" s="138" t="s">
        <v>1425</v>
      </c>
      <c r="D532" s="138" t="s">
        <v>1419</v>
      </c>
      <c r="E532" s="136" t="s">
        <v>1571</v>
      </c>
      <c r="F532" s="419">
        <v>43100</v>
      </c>
      <c r="G532" s="140">
        <v>1319.16579</v>
      </c>
      <c r="H532" s="140">
        <v>3</v>
      </c>
      <c r="I532" s="140">
        <v>7.0319200000000004</v>
      </c>
      <c r="J532" s="140">
        <v>29.592639999999999</v>
      </c>
      <c r="K532" s="140">
        <v>315.54263000000003</v>
      </c>
      <c r="L532" s="140">
        <v>355.15146000000004</v>
      </c>
    </row>
    <row r="533" spans="1:12" ht="21">
      <c r="A533" s="138" t="s">
        <v>2601</v>
      </c>
      <c r="B533" s="135" t="s">
        <v>2604</v>
      </c>
      <c r="C533" s="136" t="s">
        <v>1247</v>
      </c>
      <c r="D533" s="136" t="s">
        <v>1235</v>
      </c>
      <c r="E533" s="138" t="s">
        <v>1571</v>
      </c>
      <c r="F533" s="420">
        <v>43100</v>
      </c>
      <c r="G533" s="141">
        <v>1318.7321400000001</v>
      </c>
      <c r="H533" s="141">
        <v>8</v>
      </c>
      <c r="I533" s="141">
        <v>5.56968</v>
      </c>
      <c r="J533" s="141">
        <v>23.439049999999998</v>
      </c>
      <c r="K533" s="141">
        <v>240.20604</v>
      </c>
      <c r="L533" s="141">
        <v>269.64964999999995</v>
      </c>
    </row>
    <row r="534" spans="1:12" ht="21">
      <c r="A534" s="136" t="s">
        <v>2603</v>
      </c>
      <c r="B534" s="137" t="s">
        <v>2606</v>
      </c>
      <c r="C534" s="138" t="s">
        <v>1016</v>
      </c>
      <c r="D534" s="138" t="s">
        <v>1013</v>
      </c>
      <c r="E534" s="136" t="s">
        <v>1571</v>
      </c>
      <c r="F534" s="419">
        <v>42735</v>
      </c>
      <c r="G534" s="140">
        <v>1316.5139799999999</v>
      </c>
      <c r="H534" s="140">
        <v>5</v>
      </c>
      <c r="I534" s="143" t="s">
        <v>189</v>
      </c>
      <c r="J534" s="140">
        <v>3.2753500000000004</v>
      </c>
      <c r="K534" s="140">
        <v>251.78594000000001</v>
      </c>
      <c r="L534" s="140">
        <v>257.39078000000001</v>
      </c>
    </row>
    <row r="535" spans="1:12" ht="42">
      <c r="A535" s="138" t="s">
        <v>2605</v>
      </c>
      <c r="B535" s="135" t="s">
        <v>2608</v>
      </c>
      <c r="C535" s="136" t="s">
        <v>1124</v>
      </c>
      <c r="D535" s="136" t="s">
        <v>1112</v>
      </c>
      <c r="E535" s="138" t="s">
        <v>1571</v>
      </c>
      <c r="F535" s="420">
        <v>43100</v>
      </c>
      <c r="G535" s="141">
        <v>1314.1219599999999</v>
      </c>
      <c r="H535" s="141">
        <v>13</v>
      </c>
      <c r="I535" s="141">
        <v>31.332700000000003</v>
      </c>
      <c r="J535" s="141">
        <v>83.027180000000016</v>
      </c>
      <c r="K535" s="141">
        <v>466.59268000000003</v>
      </c>
      <c r="L535" s="141">
        <v>620.39891</v>
      </c>
    </row>
    <row r="536" spans="1:12" ht="21">
      <c r="A536" s="136" t="s">
        <v>2607</v>
      </c>
      <c r="B536" s="137" t="s">
        <v>2610</v>
      </c>
      <c r="C536" s="138" t="s">
        <v>1350</v>
      </c>
      <c r="D536" s="138" t="s">
        <v>1341</v>
      </c>
      <c r="E536" s="136" t="s">
        <v>1571</v>
      </c>
      <c r="F536" s="419">
        <v>43100</v>
      </c>
      <c r="G536" s="140">
        <v>1310.3975700000001</v>
      </c>
      <c r="H536" s="140">
        <v>4</v>
      </c>
      <c r="I536" s="140">
        <v>5.2230500000000006</v>
      </c>
      <c r="J536" s="140">
        <v>16.539649999999998</v>
      </c>
      <c r="K536" s="140">
        <v>160.69522000000001</v>
      </c>
      <c r="L536" s="140">
        <v>188.84148999999999</v>
      </c>
    </row>
    <row r="537" spans="1:12" ht="21">
      <c r="A537" s="138" t="s">
        <v>2609</v>
      </c>
      <c r="B537" s="135" t="s">
        <v>2612</v>
      </c>
      <c r="C537" s="136" t="s">
        <v>1422</v>
      </c>
      <c r="D537" s="136" t="s">
        <v>1419</v>
      </c>
      <c r="E537" s="138" t="s">
        <v>1571</v>
      </c>
      <c r="F537" s="420">
        <v>43100</v>
      </c>
      <c r="G537" s="141">
        <v>1299.4615200000001</v>
      </c>
      <c r="H537" s="141">
        <v>10</v>
      </c>
      <c r="I537" s="141">
        <v>8.166269999999999</v>
      </c>
      <c r="J537" s="141">
        <v>34.201289999999993</v>
      </c>
      <c r="K537" s="141">
        <v>346.28441000000004</v>
      </c>
      <c r="L537" s="141">
        <v>401.15454</v>
      </c>
    </row>
    <row r="538" spans="1:12" ht="21">
      <c r="A538" s="136" t="s">
        <v>2611</v>
      </c>
      <c r="B538" s="137" t="s">
        <v>2614</v>
      </c>
      <c r="C538" s="138" t="s">
        <v>844</v>
      </c>
      <c r="D538" s="138" t="s">
        <v>811</v>
      </c>
      <c r="E538" s="136" t="s">
        <v>1571</v>
      </c>
      <c r="F538" s="419">
        <v>43100</v>
      </c>
      <c r="G538" s="140">
        <v>1296.8765700000001</v>
      </c>
      <c r="H538" s="140">
        <v>18</v>
      </c>
      <c r="I538" s="143" t="s">
        <v>189</v>
      </c>
      <c r="J538" s="140">
        <v>-185.41854000000001</v>
      </c>
      <c r="K538" s="140">
        <v>632.0788500000001</v>
      </c>
      <c r="L538" s="140">
        <v>861.21851000000004</v>
      </c>
    </row>
    <row r="539" spans="1:12" ht="21">
      <c r="A539" s="138" t="s">
        <v>2613</v>
      </c>
      <c r="B539" s="135" t="s">
        <v>2616</v>
      </c>
      <c r="C539" s="136" t="s">
        <v>1045</v>
      </c>
      <c r="D539" s="136" t="s">
        <v>971</v>
      </c>
      <c r="E539" s="138" t="s">
        <v>1571</v>
      </c>
      <c r="F539" s="420">
        <v>43100</v>
      </c>
      <c r="G539" s="141">
        <v>1293.7667900000001</v>
      </c>
      <c r="H539" s="141">
        <v>9</v>
      </c>
      <c r="I539" s="141">
        <v>7.6667699999999996</v>
      </c>
      <c r="J539" s="141">
        <v>24.278099999999998</v>
      </c>
      <c r="K539" s="141">
        <v>324.98408000000001</v>
      </c>
      <c r="L539" s="141">
        <v>429.68394000000001</v>
      </c>
    </row>
    <row r="540" spans="1:12" ht="21">
      <c r="A540" s="136" t="s">
        <v>2615</v>
      </c>
      <c r="B540" s="137" t="s">
        <v>2618</v>
      </c>
      <c r="C540" s="138" t="s">
        <v>1167</v>
      </c>
      <c r="D540" s="138" t="s">
        <v>1168</v>
      </c>
      <c r="E540" s="136" t="s">
        <v>1571</v>
      </c>
      <c r="F540" s="419">
        <v>43100</v>
      </c>
      <c r="G540" s="140">
        <v>1278.1953800000001</v>
      </c>
      <c r="H540" s="140">
        <v>16</v>
      </c>
      <c r="I540" s="140">
        <v>20.27955</v>
      </c>
      <c r="J540" s="140">
        <v>150.20042999999998</v>
      </c>
      <c r="K540" s="140">
        <v>450.17699000000005</v>
      </c>
      <c r="L540" s="140">
        <v>701.69889000000001</v>
      </c>
    </row>
    <row r="541" spans="1:12" ht="31.5">
      <c r="A541" s="138" t="s">
        <v>2617</v>
      </c>
      <c r="B541" s="135" t="s">
        <v>2620</v>
      </c>
      <c r="C541" s="136" t="s">
        <v>1275</v>
      </c>
      <c r="D541" s="136" t="s">
        <v>1266</v>
      </c>
      <c r="E541" s="138" t="s">
        <v>1571</v>
      </c>
      <c r="F541" s="420">
        <v>43100</v>
      </c>
      <c r="G541" s="141">
        <v>1267.8465690000003</v>
      </c>
      <c r="H541" s="141">
        <v>11</v>
      </c>
      <c r="I541" s="141">
        <v>21.714880000000001</v>
      </c>
      <c r="J541" s="141">
        <v>92.571180000000012</v>
      </c>
      <c r="K541" s="141">
        <v>436.70623000000006</v>
      </c>
      <c r="L541" s="141">
        <v>568.39828999999997</v>
      </c>
    </row>
    <row r="542" spans="1:12" ht="31.5">
      <c r="A542" s="136" t="s">
        <v>2619</v>
      </c>
      <c r="B542" s="137" t="s">
        <v>2622</v>
      </c>
      <c r="C542" s="138" t="s">
        <v>1202</v>
      </c>
      <c r="D542" s="138" t="s">
        <v>1203</v>
      </c>
      <c r="E542" s="136" t="s">
        <v>1571</v>
      </c>
      <c r="F542" s="419">
        <v>43100</v>
      </c>
      <c r="G542" s="140">
        <v>1261.0099499999999</v>
      </c>
      <c r="H542" s="140">
        <v>8</v>
      </c>
      <c r="I542" s="140">
        <v>3.5646800000000001</v>
      </c>
      <c r="J542" s="140">
        <v>15.001340000000001</v>
      </c>
      <c r="K542" s="140">
        <v>211.70320000000001</v>
      </c>
      <c r="L542" s="140">
        <v>338.65597000000002</v>
      </c>
    </row>
    <row r="543" spans="1:12" ht="21">
      <c r="A543" s="138" t="s">
        <v>2621</v>
      </c>
      <c r="B543" s="421" t="s">
        <v>2624</v>
      </c>
      <c r="C543" s="136" t="s">
        <v>605</v>
      </c>
      <c r="D543" s="136" t="s">
        <v>596</v>
      </c>
      <c r="E543" s="138" t="s">
        <v>1571</v>
      </c>
      <c r="F543" s="420">
        <v>43100</v>
      </c>
      <c r="G543" s="141">
        <v>1255.5210200000001</v>
      </c>
      <c r="H543" s="141">
        <v>12</v>
      </c>
      <c r="I543" s="141">
        <v>6.8787900000000004</v>
      </c>
      <c r="J543" s="141">
        <v>61.158269999999995</v>
      </c>
      <c r="K543" s="141">
        <v>638.3245300000001</v>
      </c>
      <c r="L543" s="141">
        <v>770.48937000000001</v>
      </c>
    </row>
    <row r="544" spans="1:12" ht="52.5">
      <c r="A544" s="136" t="s">
        <v>2623</v>
      </c>
      <c r="B544" s="137" t="s">
        <v>2626</v>
      </c>
      <c r="C544" s="138" t="s">
        <v>1292</v>
      </c>
      <c r="D544" s="138" t="s">
        <v>1266</v>
      </c>
      <c r="E544" s="136" t="s">
        <v>1571</v>
      </c>
      <c r="F544" s="419">
        <v>40908</v>
      </c>
      <c r="G544" s="140">
        <v>1249.3926300000001</v>
      </c>
      <c r="H544" s="140">
        <v>6</v>
      </c>
      <c r="I544" s="140">
        <v>114.20489999999999</v>
      </c>
      <c r="J544" s="140">
        <v>385.89611000000002</v>
      </c>
      <c r="K544" s="140">
        <v>189.15836999999999</v>
      </c>
      <c r="L544" s="140">
        <v>709.41120000000001</v>
      </c>
    </row>
    <row r="545" spans="1:12" ht="42">
      <c r="A545" s="138" t="s">
        <v>2625</v>
      </c>
      <c r="B545" s="135" t="s">
        <v>2628</v>
      </c>
      <c r="C545" s="136" t="s">
        <v>1449</v>
      </c>
      <c r="D545" s="136" t="s">
        <v>1448</v>
      </c>
      <c r="E545" s="138" t="s">
        <v>1571</v>
      </c>
      <c r="F545" s="420">
        <v>43100</v>
      </c>
      <c r="G545" s="141">
        <v>1243.1194599999999</v>
      </c>
      <c r="H545" s="141">
        <v>6</v>
      </c>
      <c r="I545" s="142" t="s">
        <v>189</v>
      </c>
      <c r="J545" s="141">
        <v>35.035310000000003</v>
      </c>
      <c r="K545" s="141">
        <v>204.09709000000001</v>
      </c>
      <c r="L545" s="141">
        <v>254.84053</v>
      </c>
    </row>
    <row r="546" spans="1:12" ht="31.5">
      <c r="A546" s="136" t="s">
        <v>2627</v>
      </c>
      <c r="B546" s="137" t="s">
        <v>2630</v>
      </c>
      <c r="C546" s="138" t="s">
        <v>1390</v>
      </c>
      <c r="D546" s="138" t="s">
        <v>1797</v>
      </c>
      <c r="E546" s="136" t="s">
        <v>1571</v>
      </c>
      <c r="F546" s="419">
        <v>43100</v>
      </c>
      <c r="G546" s="140">
        <v>1209.7228</v>
      </c>
      <c r="H546" s="140">
        <v>8</v>
      </c>
      <c r="I546" s="140">
        <v>1.68824</v>
      </c>
      <c r="J546" s="140">
        <v>14.299220000000002</v>
      </c>
      <c r="K546" s="140">
        <v>290.66307</v>
      </c>
      <c r="L546" s="140">
        <v>335.10709000000003</v>
      </c>
    </row>
    <row r="547" spans="1:12" ht="52.5">
      <c r="A547" s="138" t="s">
        <v>2629</v>
      </c>
      <c r="B547" s="135" t="s">
        <v>2632</v>
      </c>
      <c r="C547" s="136" t="s">
        <v>1531</v>
      </c>
      <c r="D547" s="136" t="s">
        <v>1279</v>
      </c>
      <c r="E547" s="138" t="s">
        <v>1571</v>
      </c>
      <c r="F547" s="420">
        <v>42735</v>
      </c>
      <c r="G547" s="141">
        <v>1207.1829700000001</v>
      </c>
      <c r="H547" s="141">
        <v>7</v>
      </c>
      <c r="I547" s="141">
        <v>4.8060900000000002</v>
      </c>
      <c r="J547" s="141">
        <v>31.603649999999998</v>
      </c>
      <c r="K547" s="141">
        <v>271.64627000000002</v>
      </c>
      <c r="L547" s="141">
        <v>342.21325999999999</v>
      </c>
    </row>
    <row r="548" spans="1:12" ht="21">
      <c r="A548" s="136" t="s">
        <v>2631</v>
      </c>
      <c r="B548" s="137" t="s">
        <v>2634</v>
      </c>
      <c r="C548" s="138" t="s">
        <v>1133</v>
      </c>
      <c r="D548" s="138" t="s">
        <v>1132</v>
      </c>
      <c r="E548" s="136" t="s">
        <v>1571</v>
      </c>
      <c r="F548" s="419">
        <v>42735</v>
      </c>
      <c r="G548" s="140">
        <v>1206.2496600000002</v>
      </c>
      <c r="H548" s="140">
        <v>9</v>
      </c>
      <c r="I548" s="140">
        <v>2.6053100000000002</v>
      </c>
      <c r="J548" s="140">
        <v>12.234030000000001</v>
      </c>
      <c r="K548" s="140">
        <v>388.49736999999999</v>
      </c>
      <c r="L548" s="140">
        <v>421.32588000000004</v>
      </c>
    </row>
    <row r="549" spans="1:12">
      <c r="A549" s="138" t="s">
        <v>2633</v>
      </c>
      <c r="B549" s="135" t="s">
        <v>2636</v>
      </c>
      <c r="C549" s="136" t="s">
        <v>964</v>
      </c>
      <c r="D549" s="136" t="s">
        <v>1320</v>
      </c>
      <c r="E549" s="138" t="s">
        <v>1571</v>
      </c>
      <c r="F549" s="420">
        <v>42735</v>
      </c>
      <c r="G549" s="141">
        <v>1205.4796800000001</v>
      </c>
      <c r="H549" s="141">
        <v>3</v>
      </c>
      <c r="I549" s="142" t="s">
        <v>189</v>
      </c>
      <c r="J549" s="141">
        <v>88.318429999999992</v>
      </c>
      <c r="K549" s="141">
        <v>93.357489999999999</v>
      </c>
      <c r="L549" s="141">
        <v>231.07561999999999</v>
      </c>
    </row>
    <row r="550" spans="1:12" ht="42">
      <c r="A550" s="136" t="s">
        <v>2635</v>
      </c>
      <c r="B550" s="137" t="s">
        <v>2638</v>
      </c>
      <c r="C550" s="138" t="s">
        <v>817</v>
      </c>
      <c r="D550" s="138" t="s">
        <v>811</v>
      </c>
      <c r="E550" s="136" t="s">
        <v>1571</v>
      </c>
      <c r="F550" s="419">
        <v>43100</v>
      </c>
      <c r="G550" s="140">
        <v>1200.3806700000002</v>
      </c>
      <c r="H550" s="140">
        <v>13</v>
      </c>
      <c r="I550" s="140">
        <v>0.83561000000000007</v>
      </c>
      <c r="J550" s="140">
        <v>5.4947900000000001</v>
      </c>
      <c r="K550" s="140">
        <v>210.22587999999999</v>
      </c>
      <c r="L550" s="140">
        <v>228.93762000000001</v>
      </c>
    </row>
    <row r="551" spans="1:12" ht="31.5">
      <c r="A551" s="138" t="s">
        <v>2637</v>
      </c>
      <c r="B551" s="135" t="s">
        <v>2640</v>
      </c>
      <c r="C551" s="136" t="s">
        <v>1032</v>
      </c>
      <c r="D551" s="136" t="s">
        <v>1027</v>
      </c>
      <c r="E551" s="138" t="s">
        <v>1571</v>
      </c>
      <c r="F551" s="420">
        <v>42613</v>
      </c>
      <c r="G551" s="141">
        <v>1197.3344099999999</v>
      </c>
      <c r="H551" s="141">
        <v>16</v>
      </c>
      <c r="I551" s="142" t="s">
        <v>189</v>
      </c>
      <c r="J551" s="141">
        <v>29.151329999999998</v>
      </c>
      <c r="K551" s="141">
        <v>579.92752000000007</v>
      </c>
      <c r="L551" s="141">
        <v>622.01859000000002</v>
      </c>
    </row>
    <row r="552" spans="1:12" ht="52.5">
      <c r="A552" s="136" t="s">
        <v>2639</v>
      </c>
      <c r="B552" s="137" t="s">
        <v>2642</v>
      </c>
      <c r="C552" s="138" t="s">
        <v>1333</v>
      </c>
      <c r="D552" s="138" t="s">
        <v>1320</v>
      </c>
      <c r="E552" s="136" t="s">
        <v>1571</v>
      </c>
      <c r="F552" s="419">
        <v>43100</v>
      </c>
      <c r="G552" s="140">
        <v>1195.3551000000002</v>
      </c>
      <c r="H552" s="140">
        <v>10</v>
      </c>
      <c r="I552" s="143" t="s">
        <v>189</v>
      </c>
      <c r="J552" s="140">
        <v>17.522290000000002</v>
      </c>
      <c r="K552" s="140">
        <v>310.26006000000001</v>
      </c>
      <c r="L552" s="140">
        <v>392.20202900000004</v>
      </c>
    </row>
    <row r="553" spans="1:12" ht="31.5">
      <c r="A553" s="138" t="s">
        <v>2641</v>
      </c>
      <c r="B553" s="135" t="s">
        <v>2644</v>
      </c>
      <c r="C553" s="136" t="s">
        <v>1522</v>
      </c>
      <c r="D553" s="136" t="s">
        <v>1501</v>
      </c>
      <c r="E553" s="138" t="s">
        <v>1571</v>
      </c>
      <c r="F553" s="420">
        <v>43100</v>
      </c>
      <c r="G553" s="141">
        <v>1194.26106</v>
      </c>
      <c r="H553" s="141">
        <v>13</v>
      </c>
      <c r="I553" s="141">
        <v>0.98440000000000005</v>
      </c>
      <c r="J553" s="141">
        <v>3.1172499999999999</v>
      </c>
      <c r="K553" s="141">
        <v>485.51395000000002</v>
      </c>
      <c r="L553" s="141">
        <v>495.78955000000002</v>
      </c>
    </row>
    <row r="554" spans="1:12" ht="21">
      <c r="A554" s="136" t="s">
        <v>2643</v>
      </c>
      <c r="B554" s="137" t="s">
        <v>2646</v>
      </c>
      <c r="C554" s="138" t="s">
        <v>824</v>
      </c>
      <c r="D554" s="138" t="s">
        <v>811</v>
      </c>
      <c r="E554" s="136" t="s">
        <v>1571</v>
      </c>
      <c r="F554" s="419">
        <v>42369</v>
      </c>
      <c r="G554" s="140">
        <v>1190.65643</v>
      </c>
      <c r="H554" s="140">
        <v>16</v>
      </c>
      <c r="I554" s="143" t="s">
        <v>189</v>
      </c>
      <c r="J554" s="140">
        <v>-48.215759999999996</v>
      </c>
      <c r="K554" s="140">
        <v>537.17254000000003</v>
      </c>
      <c r="L554" s="140">
        <v>546.19806000000005</v>
      </c>
    </row>
    <row r="555" spans="1:12" ht="31.5">
      <c r="A555" s="138" t="s">
        <v>2645</v>
      </c>
      <c r="B555" s="421" t="s">
        <v>2648</v>
      </c>
      <c r="C555" s="136" t="s">
        <v>1443</v>
      </c>
      <c r="D555" s="136" t="s">
        <v>1429</v>
      </c>
      <c r="E555" s="138" t="s">
        <v>1571</v>
      </c>
      <c r="F555" s="420">
        <v>43100</v>
      </c>
      <c r="G555" s="141">
        <v>1178.0281100000002</v>
      </c>
      <c r="H555" s="141">
        <v>14</v>
      </c>
      <c r="I555" s="141"/>
      <c r="J555" s="141">
        <v>-23.839809999999996</v>
      </c>
      <c r="K555" s="141">
        <v>548.50538000000006</v>
      </c>
      <c r="L555" s="141">
        <v>571.79180900000006</v>
      </c>
    </row>
    <row r="556" spans="1:12" ht="21">
      <c r="A556" s="136" t="s">
        <v>2647</v>
      </c>
      <c r="B556" s="137" t="s">
        <v>2650</v>
      </c>
      <c r="C556" s="138" t="s">
        <v>1240</v>
      </c>
      <c r="D556" s="138" t="s">
        <v>1235</v>
      </c>
      <c r="E556" s="136" t="s">
        <v>1571</v>
      </c>
      <c r="F556" s="419">
        <v>40178</v>
      </c>
      <c r="G556" s="140">
        <v>1174.1968200000001</v>
      </c>
      <c r="H556" s="140">
        <v>16</v>
      </c>
      <c r="I556" s="140">
        <v>9.4297700000000013</v>
      </c>
      <c r="J556" s="140">
        <v>29.860950000000003</v>
      </c>
      <c r="K556" s="140">
        <v>478.48554000000001</v>
      </c>
      <c r="L556" s="140">
        <v>522.93689000000006</v>
      </c>
    </row>
    <row r="557" spans="1:12">
      <c r="A557" s="138" t="s">
        <v>2649</v>
      </c>
      <c r="B557" s="135" t="s">
        <v>2652</v>
      </c>
      <c r="C557" s="136" t="s">
        <v>600</v>
      </c>
      <c r="D557" s="136" t="s">
        <v>596</v>
      </c>
      <c r="E557" s="138" t="s">
        <v>1571</v>
      </c>
      <c r="F557" s="420">
        <v>43100</v>
      </c>
      <c r="G557" s="141">
        <v>1173.4309499999999</v>
      </c>
      <c r="H557" s="141">
        <v>15</v>
      </c>
      <c r="I557" s="141">
        <v>36.173320000000004</v>
      </c>
      <c r="J557" s="141">
        <v>114.26584</v>
      </c>
      <c r="K557" s="141">
        <v>532.96507899999995</v>
      </c>
      <c r="L557" s="141">
        <v>688.89427899999987</v>
      </c>
    </row>
    <row r="558" spans="1:12" ht="31.5">
      <c r="A558" s="136" t="s">
        <v>2651</v>
      </c>
      <c r="B558" s="137" t="s">
        <v>2654</v>
      </c>
      <c r="C558" s="138" t="s">
        <v>1286</v>
      </c>
      <c r="D558" s="138" t="s">
        <v>1800</v>
      </c>
      <c r="E558" s="136" t="s">
        <v>1571</v>
      </c>
      <c r="F558" s="419">
        <v>43100</v>
      </c>
      <c r="G558" s="140">
        <v>1165.7407499999999</v>
      </c>
      <c r="H558" s="140">
        <v>4</v>
      </c>
      <c r="I558" s="140">
        <v>19.688480000000002</v>
      </c>
      <c r="J558" s="140">
        <v>83.411820000000006</v>
      </c>
      <c r="K558" s="140">
        <v>104.7067</v>
      </c>
      <c r="L558" s="140">
        <v>220.82375000000002</v>
      </c>
    </row>
    <row r="559" spans="1:12" ht="73.5">
      <c r="A559" s="138" t="s">
        <v>2653</v>
      </c>
      <c r="B559" s="135" t="s">
        <v>2656</v>
      </c>
      <c r="C559" s="136" t="s">
        <v>1115</v>
      </c>
      <c r="D559" s="136" t="s">
        <v>1112</v>
      </c>
      <c r="E559" s="138" t="s">
        <v>1571</v>
      </c>
      <c r="F559" s="420">
        <v>43100</v>
      </c>
      <c r="G559" s="141">
        <v>1160.1074900000001</v>
      </c>
      <c r="H559" s="141">
        <v>11</v>
      </c>
      <c r="I559" s="142" t="s">
        <v>189</v>
      </c>
      <c r="J559" s="141">
        <v>54.134910000000005</v>
      </c>
      <c r="K559" s="141">
        <v>380.53449000000006</v>
      </c>
      <c r="L559" s="141">
        <v>488.99114999999995</v>
      </c>
    </row>
    <row r="560" spans="1:12" ht="63">
      <c r="A560" s="136" t="s">
        <v>2655</v>
      </c>
      <c r="B560" s="137" t="s">
        <v>2658</v>
      </c>
      <c r="C560" s="138" t="s">
        <v>1436</v>
      </c>
      <c r="D560" s="138" t="s">
        <v>1429</v>
      </c>
      <c r="E560" s="136" t="s">
        <v>1571</v>
      </c>
      <c r="F560" s="419">
        <v>43100</v>
      </c>
      <c r="G560" s="140">
        <v>1158.7384399999999</v>
      </c>
      <c r="H560" s="140">
        <v>13</v>
      </c>
      <c r="I560" s="140">
        <v>41.073729999999998</v>
      </c>
      <c r="J560" s="140">
        <v>130.06682000000001</v>
      </c>
      <c r="K560" s="140">
        <v>480.24952000000002</v>
      </c>
      <c r="L560" s="140">
        <v>733.97519</v>
      </c>
    </row>
    <row r="561" spans="1:12" ht="21">
      <c r="A561" s="138" t="s">
        <v>2657</v>
      </c>
      <c r="B561" s="135" t="s">
        <v>2660</v>
      </c>
      <c r="C561" s="136" t="s">
        <v>645</v>
      </c>
      <c r="D561" s="136" t="s">
        <v>641</v>
      </c>
      <c r="E561" s="138" t="s">
        <v>1571</v>
      </c>
      <c r="F561" s="420">
        <v>43100</v>
      </c>
      <c r="G561" s="141">
        <v>1154.981299</v>
      </c>
      <c r="H561" s="141">
        <v>28</v>
      </c>
      <c r="I561" s="142" t="s">
        <v>189</v>
      </c>
      <c r="J561" s="141">
        <v>-2447.9722099999999</v>
      </c>
      <c r="K561" s="141">
        <v>1594.3419099999999</v>
      </c>
      <c r="L561" s="141">
        <v>-352.37063000000001</v>
      </c>
    </row>
    <row r="562" spans="1:12" ht="42">
      <c r="A562" s="136" t="s">
        <v>2659</v>
      </c>
      <c r="B562" s="137" t="s">
        <v>2662</v>
      </c>
      <c r="C562" s="138" t="s">
        <v>840</v>
      </c>
      <c r="D562" s="138" t="s">
        <v>811</v>
      </c>
      <c r="E562" s="136" t="s">
        <v>1571</v>
      </c>
      <c r="F562" s="419">
        <v>43100</v>
      </c>
      <c r="G562" s="140">
        <v>1147.4966200000001</v>
      </c>
      <c r="H562" s="140">
        <v>4</v>
      </c>
      <c r="I562" s="140">
        <v>20.25262</v>
      </c>
      <c r="J562" s="140">
        <v>82.493089999999995</v>
      </c>
      <c r="K562" s="140">
        <v>251.1961</v>
      </c>
      <c r="L562" s="140">
        <v>371.88683000000003</v>
      </c>
    </row>
    <row r="563" spans="1:12" ht="52.5">
      <c r="A563" s="138" t="s">
        <v>2661</v>
      </c>
      <c r="B563" s="135" t="s">
        <v>2664</v>
      </c>
      <c r="C563" s="136" t="s">
        <v>1214</v>
      </c>
      <c r="D563" s="136" t="s">
        <v>1215</v>
      </c>
      <c r="E563" s="138" t="s">
        <v>1571</v>
      </c>
      <c r="F563" s="420">
        <v>43100</v>
      </c>
      <c r="G563" s="141">
        <v>1142.41679</v>
      </c>
      <c r="H563" s="141">
        <v>11</v>
      </c>
      <c r="I563" s="141">
        <v>11.17975</v>
      </c>
      <c r="J563" s="141">
        <v>42.67239</v>
      </c>
      <c r="K563" s="141">
        <v>546.4839300000001</v>
      </c>
      <c r="L563" s="141">
        <v>665.29373999999996</v>
      </c>
    </row>
    <row r="564" spans="1:12" ht="21">
      <c r="A564" s="136" t="s">
        <v>2663</v>
      </c>
      <c r="B564" s="137" t="s">
        <v>2666</v>
      </c>
      <c r="C564" s="138" t="s">
        <v>1265</v>
      </c>
      <c r="D564" s="138" t="s">
        <v>1266</v>
      </c>
      <c r="E564" s="136" t="s">
        <v>1571</v>
      </c>
      <c r="F564" s="419">
        <v>43100</v>
      </c>
      <c r="G564" s="140">
        <v>1136.9291400000002</v>
      </c>
      <c r="H564" s="140">
        <v>1</v>
      </c>
      <c r="I564" s="140"/>
      <c r="J564" s="140">
        <v>74.872680000000003</v>
      </c>
      <c r="K564" s="140">
        <v>49.100229999999996</v>
      </c>
      <c r="L564" s="140">
        <v>133.47368899999998</v>
      </c>
    </row>
    <row r="565" spans="1:12" ht="21">
      <c r="A565" s="138" t="s">
        <v>2665</v>
      </c>
      <c r="B565" s="135" t="s">
        <v>2668</v>
      </c>
      <c r="C565" s="136" t="s">
        <v>903</v>
      </c>
      <c r="D565" s="136" t="s">
        <v>811</v>
      </c>
      <c r="E565" s="138" t="s">
        <v>1571</v>
      </c>
      <c r="F565" s="420">
        <v>43100</v>
      </c>
      <c r="G565" s="141">
        <v>1135.6206900000002</v>
      </c>
      <c r="H565" s="141">
        <v>6</v>
      </c>
      <c r="I565" s="141">
        <v>0.65473999999999999</v>
      </c>
      <c r="J565" s="141">
        <v>6.8923500000000004</v>
      </c>
      <c r="K565" s="141">
        <v>187.50951000000001</v>
      </c>
      <c r="L565" s="141">
        <v>205.27207999999999</v>
      </c>
    </row>
    <row r="566" spans="1:12" ht="21">
      <c r="A566" s="136" t="s">
        <v>2667</v>
      </c>
      <c r="B566" s="137" t="s">
        <v>2670</v>
      </c>
      <c r="C566" s="138" t="s">
        <v>1546</v>
      </c>
      <c r="D566" s="138" t="s">
        <v>1279</v>
      </c>
      <c r="E566" s="136" t="s">
        <v>1571</v>
      </c>
      <c r="F566" s="419">
        <v>43100</v>
      </c>
      <c r="G566" s="140">
        <v>1135.4634699999999</v>
      </c>
      <c r="H566" s="140">
        <v>5</v>
      </c>
      <c r="I566" s="143" t="s">
        <v>189</v>
      </c>
      <c r="J566" s="140">
        <v>8.7852499999999996</v>
      </c>
      <c r="K566" s="140">
        <v>167.93965</v>
      </c>
      <c r="L566" s="140">
        <v>180.27034999999998</v>
      </c>
    </row>
    <row r="567" spans="1:12">
      <c r="A567" s="138" t="s">
        <v>2669</v>
      </c>
      <c r="B567" s="135" t="s">
        <v>2672</v>
      </c>
      <c r="C567" s="136" t="s">
        <v>685</v>
      </c>
      <c r="D567" s="136" t="s">
        <v>686</v>
      </c>
      <c r="E567" s="138" t="s">
        <v>1571</v>
      </c>
      <c r="F567" s="420">
        <v>43100</v>
      </c>
      <c r="G567" s="141">
        <v>1131.4056700000001</v>
      </c>
      <c r="H567" s="141">
        <v>16</v>
      </c>
      <c r="I567" s="142" t="s">
        <v>189</v>
      </c>
      <c r="J567" s="141">
        <v>10.588570000000001</v>
      </c>
      <c r="K567" s="141">
        <v>500.82532000000003</v>
      </c>
      <c r="L567" s="141">
        <v>553.77576999999997</v>
      </c>
    </row>
    <row r="568" spans="1:12" ht="31.5">
      <c r="A568" s="136" t="s">
        <v>2671</v>
      </c>
      <c r="B568" s="137" t="s">
        <v>2674</v>
      </c>
      <c r="C568" s="138" t="s">
        <v>918</v>
      </c>
      <c r="D568" s="138" t="s">
        <v>811</v>
      </c>
      <c r="E568" s="136" t="s">
        <v>1571</v>
      </c>
      <c r="F568" s="419">
        <v>43100</v>
      </c>
      <c r="G568" s="140">
        <v>1130.2250200000001</v>
      </c>
      <c r="H568" s="140">
        <v>11</v>
      </c>
      <c r="I568" s="140">
        <v>9.9833199999999991</v>
      </c>
      <c r="J568" s="140">
        <v>14.61708</v>
      </c>
      <c r="K568" s="140">
        <v>347.89148000000006</v>
      </c>
      <c r="L568" s="140">
        <v>384.28709000000003</v>
      </c>
    </row>
    <row r="569" spans="1:12" ht="52.5">
      <c r="A569" s="138" t="s">
        <v>2673</v>
      </c>
      <c r="B569" s="135" t="s">
        <v>2676</v>
      </c>
      <c r="C569" s="136" t="s">
        <v>1417</v>
      </c>
      <c r="D569" s="136" t="s">
        <v>1419</v>
      </c>
      <c r="E569" s="138" t="s">
        <v>1571</v>
      </c>
      <c r="F569" s="420">
        <v>43100</v>
      </c>
      <c r="G569" s="141">
        <v>1128.7331100000001</v>
      </c>
      <c r="H569" s="141">
        <v>2</v>
      </c>
      <c r="I569" s="141">
        <v>2.7331300000000001</v>
      </c>
      <c r="J569" s="141">
        <v>9.5468299999999999</v>
      </c>
      <c r="K569" s="141">
        <v>171.86962</v>
      </c>
      <c r="L569" s="141">
        <v>207.37461999999999</v>
      </c>
    </row>
    <row r="570" spans="1:12" ht="21">
      <c r="A570" s="136" t="s">
        <v>2675</v>
      </c>
      <c r="B570" s="137" t="s">
        <v>2678</v>
      </c>
      <c r="C570" s="138" t="s">
        <v>656</v>
      </c>
      <c r="D570" s="138" t="s">
        <v>1622</v>
      </c>
      <c r="E570" s="136" t="s">
        <v>1571</v>
      </c>
      <c r="F570" s="419">
        <v>43100</v>
      </c>
      <c r="G570" s="140">
        <v>1122.3251300000002</v>
      </c>
      <c r="H570" s="140">
        <v>6</v>
      </c>
      <c r="I570" s="140">
        <v>0.96029000000000009</v>
      </c>
      <c r="J570" s="140">
        <v>49.122380000000007</v>
      </c>
      <c r="K570" s="140">
        <v>204.88760000000002</v>
      </c>
      <c r="L570" s="140">
        <v>259.90467000000001</v>
      </c>
    </row>
    <row r="571" spans="1:12" ht="21">
      <c r="A571" s="138" t="s">
        <v>2677</v>
      </c>
      <c r="B571" s="135" t="s">
        <v>2680</v>
      </c>
      <c r="C571" s="136" t="s">
        <v>1465</v>
      </c>
      <c r="D571" s="136" t="s">
        <v>1461</v>
      </c>
      <c r="E571" s="138" t="s">
        <v>1571</v>
      </c>
      <c r="F571" s="420">
        <v>42735</v>
      </c>
      <c r="G571" s="141">
        <v>1122.1412800000001</v>
      </c>
      <c r="H571" s="142" t="s">
        <v>189</v>
      </c>
      <c r="I571" s="141">
        <v>0.78807000000000005</v>
      </c>
      <c r="J571" s="141">
        <v>102.95578999999999</v>
      </c>
      <c r="K571" s="141">
        <v>595.39273000000003</v>
      </c>
      <c r="L571" s="141">
        <v>752.31712000000005</v>
      </c>
    </row>
    <row r="572" spans="1:12" ht="42">
      <c r="A572" s="136" t="s">
        <v>2679</v>
      </c>
      <c r="B572" s="137" t="s">
        <v>2682</v>
      </c>
      <c r="C572" s="138" t="s">
        <v>1533</v>
      </c>
      <c r="D572" s="138" t="s">
        <v>1279</v>
      </c>
      <c r="E572" s="136" t="s">
        <v>1571</v>
      </c>
      <c r="F572" s="419">
        <v>43100</v>
      </c>
      <c r="G572" s="140">
        <v>1115.9552100000001</v>
      </c>
      <c r="H572" s="140">
        <v>6</v>
      </c>
      <c r="I572" s="143" t="s">
        <v>189</v>
      </c>
      <c r="J572" s="140">
        <v>79.695419999999999</v>
      </c>
      <c r="K572" s="140">
        <v>203.70665</v>
      </c>
      <c r="L572" s="140">
        <v>291.40138999999999</v>
      </c>
    </row>
    <row r="573" spans="1:12" ht="31.5">
      <c r="A573" s="138" t="s">
        <v>2681</v>
      </c>
      <c r="B573" s="135" t="s">
        <v>2684</v>
      </c>
      <c r="C573" s="136" t="s">
        <v>1288</v>
      </c>
      <c r="D573" s="136" t="s">
        <v>1266</v>
      </c>
      <c r="E573" s="138" t="s">
        <v>1571</v>
      </c>
      <c r="F573" s="420">
        <v>43100</v>
      </c>
      <c r="G573" s="141">
        <v>1114.7656000000002</v>
      </c>
      <c r="H573" s="141">
        <v>2</v>
      </c>
      <c r="I573" s="141">
        <v>28.485669999999999</v>
      </c>
      <c r="J573" s="141">
        <v>119.87722000000001</v>
      </c>
      <c r="K573" s="141">
        <v>100.26816000000001</v>
      </c>
      <c r="L573" s="141">
        <v>253.76752999999999</v>
      </c>
    </row>
    <row r="574" spans="1:12" ht="31.5">
      <c r="A574" s="136" t="s">
        <v>2683</v>
      </c>
      <c r="B574" s="137" t="s">
        <v>2686</v>
      </c>
      <c r="C574" s="138" t="s">
        <v>1007</v>
      </c>
      <c r="D574" s="138" t="s">
        <v>975</v>
      </c>
      <c r="E574" s="136" t="s">
        <v>1571</v>
      </c>
      <c r="F574" s="419">
        <v>43100</v>
      </c>
      <c r="G574" s="140">
        <v>1103.93505</v>
      </c>
      <c r="H574" s="140">
        <v>6</v>
      </c>
      <c r="I574" s="143" t="s">
        <v>189</v>
      </c>
      <c r="J574" s="140">
        <v>43.056659999999994</v>
      </c>
      <c r="K574" s="140">
        <v>502.35658000000001</v>
      </c>
      <c r="L574" s="140">
        <v>545.41323999999997</v>
      </c>
    </row>
    <row r="575" spans="1:12" ht="31.5">
      <c r="A575" s="138" t="s">
        <v>2685</v>
      </c>
      <c r="B575" s="135" t="s">
        <v>2688</v>
      </c>
      <c r="C575" s="136" t="s">
        <v>879</v>
      </c>
      <c r="D575" s="136" t="s">
        <v>811</v>
      </c>
      <c r="E575" s="138" t="s">
        <v>1571</v>
      </c>
      <c r="F575" s="420">
        <v>43100</v>
      </c>
      <c r="G575" s="141">
        <v>1102.6667299999999</v>
      </c>
      <c r="H575" s="141">
        <v>4</v>
      </c>
      <c r="I575" s="141">
        <v>0.65058000000000005</v>
      </c>
      <c r="J575" s="141">
        <v>5.5101800000000001</v>
      </c>
      <c r="K575" s="141">
        <v>154.27268000000001</v>
      </c>
      <c r="L575" s="141">
        <v>171.47134</v>
      </c>
    </row>
    <row r="576" spans="1:12" ht="31.5">
      <c r="A576" s="136" t="s">
        <v>2687</v>
      </c>
      <c r="B576" s="137" t="s">
        <v>2690</v>
      </c>
      <c r="C576" s="138" t="s">
        <v>886</v>
      </c>
      <c r="D576" s="138" t="s">
        <v>811</v>
      </c>
      <c r="E576" s="136" t="s">
        <v>1571</v>
      </c>
      <c r="F576" s="419">
        <v>43100</v>
      </c>
      <c r="G576" s="140">
        <v>1091.4028900000001</v>
      </c>
      <c r="H576" s="140">
        <v>21</v>
      </c>
      <c r="I576" s="143" t="s">
        <v>189</v>
      </c>
      <c r="J576" s="140">
        <v>34.533229999999996</v>
      </c>
      <c r="K576" s="140">
        <v>499.13846000000001</v>
      </c>
      <c r="L576" s="140">
        <v>602.95606999999995</v>
      </c>
    </row>
    <row r="577" spans="1:12" ht="21">
      <c r="A577" s="138" t="s">
        <v>2689</v>
      </c>
      <c r="B577" s="135" t="s">
        <v>2692</v>
      </c>
      <c r="C577" s="136" t="s">
        <v>1246</v>
      </c>
      <c r="D577" s="136" t="s">
        <v>1235</v>
      </c>
      <c r="E577" s="138" t="s">
        <v>1571</v>
      </c>
      <c r="F577" s="420">
        <v>43100</v>
      </c>
      <c r="G577" s="141">
        <v>1081.2831090000002</v>
      </c>
      <c r="H577" s="141">
        <v>17</v>
      </c>
      <c r="I577" s="141">
        <v>16.10791</v>
      </c>
      <c r="J577" s="141">
        <v>-33.871229999999997</v>
      </c>
      <c r="K577" s="141">
        <v>492.81939</v>
      </c>
      <c r="L577" s="141">
        <v>483.00975</v>
      </c>
    </row>
    <row r="578" spans="1:12" ht="31.5">
      <c r="A578" s="136" t="s">
        <v>2691</v>
      </c>
      <c r="B578" s="139" t="s">
        <v>2694</v>
      </c>
      <c r="C578" s="138" t="s">
        <v>1001</v>
      </c>
      <c r="D578" s="138" t="s">
        <v>975</v>
      </c>
      <c r="E578" s="136" t="s">
        <v>1571</v>
      </c>
      <c r="F578" s="419">
        <v>43100</v>
      </c>
      <c r="G578" s="140">
        <v>1058.7925400000001</v>
      </c>
      <c r="H578" s="140">
        <v>7</v>
      </c>
      <c r="I578" s="140">
        <v>6.0888999999999998</v>
      </c>
      <c r="J578" s="140">
        <v>51.451070000000001</v>
      </c>
      <c r="K578" s="140">
        <v>311.52001000000001</v>
      </c>
      <c r="L578" s="140">
        <v>390.10465999999997</v>
      </c>
    </row>
    <row r="579" spans="1:12" ht="21">
      <c r="A579" s="138" t="s">
        <v>2693</v>
      </c>
      <c r="B579" s="135" t="s">
        <v>2696</v>
      </c>
      <c r="C579" s="136" t="s">
        <v>1530</v>
      </c>
      <c r="D579" s="136" t="s">
        <v>1501</v>
      </c>
      <c r="E579" s="138" t="s">
        <v>1571</v>
      </c>
      <c r="F579" s="420">
        <v>41639</v>
      </c>
      <c r="G579" s="141">
        <v>1055.2673790000001</v>
      </c>
      <c r="H579" s="141">
        <v>10</v>
      </c>
      <c r="I579" s="141"/>
      <c r="J579" s="141">
        <v>-136.10314000000002</v>
      </c>
      <c r="K579" s="141">
        <v>303.95578000000006</v>
      </c>
      <c r="L579" s="141">
        <v>558.54189000000008</v>
      </c>
    </row>
    <row r="580" spans="1:12" ht="21">
      <c r="A580" s="136" t="s">
        <v>2695</v>
      </c>
      <c r="B580" s="137" t="s">
        <v>2698</v>
      </c>
      <c r="C580" s="138" t="s">
        <v>697</v>
      </c>
      <c r="D580" s="138" t="s">
        <v>698</v>
      </c>
      <c r="E580" s="136" t="s">
        <v>1571</v>
      </c>
      <c r="F580" s="419">
        <v>43100</v>
      </c>
      <c r="G580" s="140">
        <v>1039.4438200000002</v>
      </c>
      <c r="H580" s="140">
        <v>10</v>
      </c>
      <c r="I580" s="143" t="s">
        <v>189</v>
      </c>
      <c r="J580" s="140">
        <v>1.75037</v>
      </c>
      <c r="K580" s="140">
        <v>328.37327000000005</v>
      </c>
      <c r="L580" s="140">
        <v>369.00983900000006</v>
      </c>
    </row>
    <row r="581" spans="1:12" ht="21">
      <c r="A581" s="138" t="s">
        <v>2697</v>
      </c>
      <c r="B581" s="135" t="s">
        <v>2700</v>
      </c>
      <c r="C581" s="136" t="s">
        <v>787</v>
      </c>
      <c r="D581" s="136" t="s">
        <v>788</v>
      </c>
      <c r="E581" s="138" t="s">
        <v>1571</v>
      </c>
      <c r="F581" s="420">
        <v>43100</v>
      </c>
      <c r="G581" s="141">
        <v>1036.6970200000001</v>
      </c>
      <c r="H581" s="141">
        <v>9</v>
      </c>
      <c r="I581" s="141"/>
      <c r="J581" s="141">
        <v>-107.37325</v>
      </c>
      <c r="K581" s="141">
        <v>623.61320999999998</v>
      </c>
      <c r="L581" s="141">
        <v>513.72825899999998</v>
      </c>
    </row>
    <row r="582" spans="1:12" ht="21">
      <c r="A582" s="136" t="s">
        <v>2699</v>
      </c>
      <c r="B582" s="137" t="s">
        <v>2702</v>
      </c>
      <c r="C582" s="138" t="s">
        <v>1338</v>
      </c>
      <c r="D582" s="138" t="s">
        <v>1320</v>
      </c>
      <c r="E582" s="136" t="s">
        <v>1571</v>
      </c>
      <c r="F582" s="419">
        <v>42735</v>
      </c>
      <c r="G582" s="140">
        <v>1023.8500799999999</v>
      </c>
      <c r="H582" s="140">
        <v>11</v>
      </c>
      <c r="I582" s="140">
        <v>36.09601</v>
      </c>
      <c r="J582" s="140">
        <v>181.06998999999999</v>
      </c>
      <c r="K582" s="140">
        <v>295.78783000000004</v>
      </c>
      <c r="L582" s="140">
        <v>550.46828999999991</v>
      </c>
    </row>
    <row r="583" spans="1:12" ht="31.5">
      <c r="A583" s="138" t="s">
        <v>2701</v>
      </c>
      <c r="B583" s="135" t="s">
        <v>2704</v>
      </c>
      <c r="C583" s="136" t="s">
        <v>843</v>
      </c>
      <c r="D583" s="136" t="s">
        <v>811</v>
      </c>
      <c r="E583" s="138" t="s">
        <v>1571</v>
      </c>
      <c r="F583" s="420">
        <v>43100</v>
      </c>
      <c r="G583" s="141">
        <v>1017.4021300000001</v>
      </c>
      <c r="H583" s="141">
        <v>33</v>
      </c>
      <c r="I583" s="141">
        <v>2.2590599999999998</v>
      </c>
      <c r="J583" s="141">
        <v>8.3098879999999991</v>
      </c>
      <c r="K583" s="141">
        <v>848.16615000000002</v>
      </c>
      <c r="L583" s="141">
        <v>875.91263800000002</v>
      </c>
    </row>
    <row r="584" spans="1:12" ht="21">
      <c r="A584" s="136" t="s">
        <v>2703</v>
      </c>
      <c r="B584" s="137" t="s">
        <v>2706</v>
      </c>
      <c r="C584" s="138" t="s">
        <v>660</v>
      </c>
      <c r="D584" s="138" t="s">
        <v>1595</v>
      </c>
      <c r="E584" s="136" t="s">
        <v>1571</v>
      </c>
      <c r="F584" s="419">
        <v>43100</v>
      </c>
      <c r="G584" s="140">
        <v>1015.90439</v>
      </c>
      <c r="H584" s="140">
        <v>15</v>
      </c>
      <c r="I584" s="143" t="s">
        <v>189</v>
      </c>
      <c r="J584" s="140">
        <v>-3.2738300000000002</v>
      </c>
      <c r="K584" s="140">
        <v>551.91797999999994</v>
      </c>
      <c r="L584" s="140">
        <v>574.12677999999994</v>
      </c>
    </row>
    <row r="585" spans="1:12" ht="31.5">
      <c r="A585" s="138" t="s">
        <v>2705</v>
      </c>
      <c r="B585" s="135" t="s">
        <v>2708</v>
      </c>
      <c r="C585" s="136" t="s">
        <v>1394</v>
      </c>
      <c r="D585" s="136" t="s">
        <v>1393</v>
      </c>
      <c r="E585" s="138" t="s">
        <v>1571</v>
      </c>
      <c r="F585" s="420">
        <v>43100</v>
      </c>
      <c r="G585" s="141">
        <v>1003.9183889999999</v>
      </c>
      <c r="H585" s="141">
        <v>20</v>
      </c>
      <c r="I585" s="141">
        <v>6.28</v>
      </c>
      <c r="J585" s="141">
        <v>19.886659999999999</v>
      </c>
      <c r="K585" s="141">
        <v>597.40188000000001</v>
      </c>
      <c r="L585" s="141">
        <v>807.84826999999996</v>
      </c>
    </row>
    <row r="586" spans="1:12" ht="31.5">
      <c r="A586" s="136" t="s">
        <v>2707</v>
      </c>
      <c r="B586" s="137" t="s">
        <v>2710</v>
      </c>
      <c r="C586" s="138" t="s">
        <v>618</v>
      </c>
      <c r="D586" s="138" t="s">
        <v>596</v>
      </c>
      <c r="E586" s="136" t="s">
        <v>1571</v>
      </c>
      <c r="F586" s="419">
        <v>43100</v>
      </c>
      <c r="G586" s="140">
        <v>999.95298000000003</v>
      </c>
      <c r="H586" s="140">
        <v>12</v>
      </c>
      <c r="I586" s="143" t="s">
        <v>189</v>
      </c>
      <c r="J586" s="140">
        <v>186.00343000000001</v>
      </c>
      <c r="K586" s="140">
        <v>442.97492000000005</v>
      </c>
      <c r="L586" s="140">
        <v>678.68500000000006</v>
      </c>
    </row>
    <row r="587" spans="1:12" ht="31.5">
      <c r="A587" s="138" t="s">
        <v>2709</v>
      </c>
      <c r="B587" s="135" t="s">
        <v>2712</v>
      </c>
      <c r="C587" s="136" t="s">
        <v>1209</v>
      </c>
      <c r="D587" s="136" t="s">
        <v>1208</v>
      </c>
      <c r="E587" s="138" t="s">
        <v>1571</v>
      </c>
      <c r="F587" s="420">
        <v>42735</v>
      </c>
      <c r="G587" s="141">
        <v>999.61677999999995</v>
      </c>
      <c r="H587" s="141">
        <v>3</v>
      </c>
      <c r="I587" s="141">
        <v>3.0969100000000003</v>
      </c>
      <c r="J587" s="141">
        <v>32.365139999999997</v>
      </c>
      <c r="K587" s="141">
        <v>133.28482899999997</v>
      </c>
      <c r="L587" s="141">
        <v>205.80738899999997</v>
      </c>
    </row>
    <row r="588" spans="1:12" ht="31.5">
      <c r="A588" s="136" t="s">
        <v>2711</v>
      </c>
      <c r="B588" s="137" t="s">
        <v>2714</v>
      </c>
      <c r="C588" s="138" t="s">
        <v>1458</v>
      </c>
      <c r="D588" s="138" t="s">
        <v>1456</v>
      </c>
      <c r="E588" s="136" t="s">
        <v>1571</v>
      </c>
      <c r="F588" s="419">
        <v>43100</v>
      </c>
      <c r="G588" s="140">
        <v>998.55132000000003</v>
      </c>
      <c r="H588" s="140">
        <v>14</v>
      </c>
      <c r="I588" s="143" t="s">
        <v>189</v>
      </c>
      <c r="J588" s="140">
        <v>1.62094</v>
      </c>
      <c r="K588" s="140">
        <v>442.76821000000001</v>
      </c>
      <c r="L588" s="140">
        <v>487.23663999999997</v>
      </c>
    </row>
    <row r="589" spans="1:12" ht="42">
      <c r="A589" s="138" t="s">
        <v>2713</v>
      </c>
      <c r="B589" s="135" t="s">
        <v>2716</v>
      </c>
      <c r="C589" s="136" t="s">
        <v>1421</v>
      </c>
      <c r="D589" s="136" t="s">
        <v>1419</v>
      </c>
      <c r="E589" s="138" t="s">
        <v>1571</v>
      </c>
      <c r="F589" s="420">
        <v>43100</v>
      </c>
      <c r="G589" s="141">
        <v>998.06594000000007</v>
      </c>
      <c r="H589" s="141">
        <v>13</v>
      </c>
      <c r="I589" s="141">
        <v>25.303990000000002</v>
      </c>
      <c r="J589" s="141">
        <v>124.7608</v>
      </c>
      <c r="K589" s="141">
        <v>560.77574000000004</v>
      </c>
      <c r="L589" s="141">
        <v>714.48208999999997</v>
      </c>
    </row>
    <row r="590" spans="1:12" ht="31.5">
      <c r="A590" s="136" t="s">
        <v>2715</v>
      </c>
      <c r="B590" s="137" t="s">
        <v>2718</v>
      </c>
      <c r="C590" s="138" t="s">
        <v>807</v>
      </c>
      <c r="D590" s="138" t="s">
        <v>800</v>
      </c>
      <c r="E590" s="136" t="s">
        <v>1571</v>
      </c>
      <c r="F590" s="419">
        <v>43100</v>
      </c>
      <c r="G590" s="140">
        <v>997.75896999999998</v>
      </c>
      <c r="H590" s="140">
        <v>8</v>
      </c>
      <c r="I590" s="143" t="s">
        <v>189</v>
      </c>
      <c r="J590" s="140">
        <v>-6.8433700000000002</v>
      </c>
      <c r="K590" s="140">
        <v>232.83807000000002</v>
      </c>
      <c r="L590" s="140">
        <v>226.46597999999997</v>
      </c>
    </row>
    <row r="591" spans="1:12" ht="52.5">
      <c r="A591" s="138" t="s">
        <v>2717</v>
      </c>
      <c r="B591" s="135" t="s">
        <v>2720</v>
      </c>
      <c r="C591" s="136" t="s">
        <v>1345</v>
      </c>
      <c r="D591" s="136" t="s">
        <v>2721</v>
      </c>
      <c r="E591" s="138" t="s">
        <v>1571</v>
      </c>
      <c r="F591" s="420">
        <v>43039</v>
      </c>
      <c r="G591" s="141">
        <v>997.65919999999994</v>
      </c>
      <c r="H591" s="141">
        <v>9</v>
      </c>
      <c r="I591" s="141"/>
      <c r="J591" s="141">
        <v>-45.808550000000004</v>
      </c>
      <c r="K591" s="141">
        <v>435.49157000000002</v>
      </c>
      <c r="L591" s="141">
        <v>469.19533999999999</v>
      </c>
    </row>
    <row r="592" spans="1:12" ht="21">
      <c r="A592" s="136" t="s">
        <v>2719</v>
      </c>
      <c r="B592" s="137" t="s">
        <v>2723</v>
      </c>
      <c r="C592" s="138" t="s">
        <v>1182</v>
      </c>
      <c r="D592" s="138" t="s">
        <v>1168</v>
      </c>
      <c r="E592" s="136" t="s">
        <v>1571</v>
      </c>
      <c r="F592" s="419">
        <v>42735</v>
      </c>
      <c r="G592" s="140">
        <v>990.88906000000009</v>
      </c>
      <c r="H592" s="143" t="s">
        <v>189</v>
      </c>
      <c r="I592" s="140">
        <v>12.118020000000001</v>
      </c>
      <c r="J592" s="140">
        <v>34.853830000000002</v>
      </c>
      <c r="K592" s="140">
        <v>378.37307000000004</v>
      </c>
      <c r="L592" s="140">
        <v>485.31474000000003</v>
      </c>
    </row>
    <row r="593" spans="1:12" ht="31.5">
      <c r="A593" s="138" t="s">
        <v>2722</v>
      </c>
      <c r="B593" s="135" t="s">
        <v>2725</v>
      </c>
      <c r="C593" s="136" t="s">
        <v>924</v>
      </c>
      <c r="D593" s="136" t="s">
        <v>811</v>
      </c>
      <c r="E593" s="138" t="s">
        <v>1571</v>
      </c>
      <c r="F593" s="420">
        <v>43100</v>
      </c>
      <c r="G593" s="141">
        <v>989.52840900000001</v>
      </c>
      <c r="H593" s="141">
        <v>5</v>
      </c>
      <c r="I593" s="141">
        <v>36.710699999999996</v>
      </c>
      <c r="J593" s="141">
        <v>116.25055</v>
      </c>
      <c r="K593" s="141">
        <v>278.87771000000004</v>
      </c>
      <c r="L593" s="141">
        <v>653.27478999999994</v>
      </c>
    </row>
    <row r="594" spans="1:12">
      <c r="A594" s="136" t="s">
        <v>2724</v>
      </c>
      <c r="B594" s="137" t="s">
        <v>2727</v>
      </c>
      <c r="C594" s="138" t="s">
        <v>1218</v>
      </c>
      <c r="D594" s="138" t="s">
        <v>1215</v>
      </c>
      <c r="E594" s="136" t="s">
        <v>1571</v>
      </c>
      <c r="F594" s="419">
        <v>42735</v>
      </c>
      <c r="G594" s="140">
        <v>972.84489000000008</v>
      </c>
      <c r="H594" s="140">
        <v>4</v>
      </c>
      <c r="I594" s="140"/>
      <c r="J594" s="140">
        <v>-37.405000000000001</v>
      </c>
      <c r="K594" s="140">
        <v>233.06339</v>
      </c>
      <c r="L594" s="140">
        <v>235.1798</v>
      </c>
    </row>
    <row r="595" spans="1:12" ht="31.5">
      <c r="A595" s="138" t="s">
        <v>2726</v>
      </c>
      <c r="B595" s="135" t="s">
        <v>2729</v>
      </c>
      <c r="C595" s="136" t="s">
        <v>803</v>
      </c>
      <c r="D595" s="136" t="s">
        <v>800</v>
      </c>
      <c r="E595" s="138" t="s">
        <v>1571</v>
      </c>
      <c r="F595" s="420">
        <v>42735</v>
      </c>
      <c r="G595" s="141">
        <v>957.70467999999994</v>
      </c>
      <c r="H595" s="142" t="s">
        <v>189</v>
      </c>
      <c r="I595" s="141">
        <v>0.61987000000000003</v>
      </c>
      <c r="J595" s="141">
        <v>5.5787800000000001</v>
      </c>
      <c r="K595" s="141">
        <v>380.06357000000003</v>
      </c>
      <c r="L595" s="141">
        <v>438.57393000000008</v>
      </c>
    </row>
    <row r="596" spans="1:12" ht="31.5">
      <c r="A596" s="136" t="s">
        <v>2728</v>
      </c>
      <c r="B596" s="137" t="s">
        <v>2731</v>
      </c>
      <c r="C596" s="138" t="s">
        <v>955</v>
      </c>
      <c r="D596" s="138" t="s">
        <v>811</v>
      </c>
      <c r="E596" s="136" t="s">
        <v>1571</v>
      </c>
      <c r="F596" s="419">
        <v>43100</v>
      </c>
      <c r="G596" s="140">
        <v>956.57625000000007</v>
      </c>
      <c r="H596" s="140">
        <v>13</v>
      </c>
      <c r="I596" s="140">
        <v>6.7879500000000004</v>
      </c>
      <c r="J596" s="140">
        <v>37.289659999999998</v>
      </c>
      <c r="K596" s="140">
        <v>449.60429000000005</v>
      </c>
      <c r="L596" s="140">
        <v>530.39141900000004</v>
      </c>
    </row>
    <row r="597" spans="1:12" ht="21">
      <c r="A597" s="138" t="s">
        <v>2730</v>
      </c>
      <c r="B597" s="135" t="s">
        <v>2733</v>
      </c>
      <c r="C597" s="136" t="s">
        <v>1237</v>
      </c>
      <c r="D597" s="136" t="s">
        <v>1235</v>
      </c>
      <c r="E597" s="138" t="s">
        <v>1571</v>
      </c>
      <c r="F597" s="420">
        <v>43100</v>
      </c>
      <c r="G597" s="141">
        <v>956.43604000000005</v>
      </c>
      <c r="H597" s="141">
        <v>13</v>
      </c>
      <c r="I597" s="141">
        <v>6.3972600000000002</v>
      </c>
      <c r="J597" s="141">
        <v>11.900879999999999</v>
      </c>
      <c r="K597" s="141">
        <v>502.96364999999997</v>
      </c>
      <c r="L597" s="141">
        <v>526.08282000000008</v>
      </c>
    </row>
    <row r="598" spans="1:12" ht="42">
      <c r="A598" s="136" t="s">
        <v>2732</v>
      </c>
      <c r="B598" s="137" t="s">
        <v>2735</v>
      </c>
      <c r="C598" s="138" t="s">
        <v>1198</v>
      </c>
      <c r="D598" s="138" t="s">
        <v>1197</v>
      </c>
      <c r="E598" s="136" t="s">
        <v>1571</v>
      </c>
      <c r="F598" s="419">
        <v>43100</v>
      </c>
      <c r="G598" s="140">
        <v>951.05858000000001</v>
      </c>
      <c r="H598" s="140">
        <v>7</v>
      </c>
      <c r="I598" s="140"/>
      <c r="J598" s="140">
        <v>7.6286600000000009</v>
      </c>
      <c r="K598" s="140">
        <v>387.52391000000006</v>
      </c>
      <c r="L598" s="140">
        <v>429.30673000000007</v>
      </c>
    </row>
    <row r="599" spans="1:12" ht="21">
      <c r="A599" s="138" t="s">
        <v>2734</v>
      </c>
      <c r="B599" s="135" t="s">
        <v>2737</v>
      </c>
      <c r="C599" s="136" t="s">
        <v>1099</v>
      </c>
      <c r="D599" s="136" t="s">
        <v>969</v>
      </c>
      <c r="E599" s="138" t="s">
        <v>1571</v>
      </c>
      <c r="F599" s="420">
        <v>43100</v>
      </c>
      <c r="G599" s="141">
        <v>950.26176999999996</v>
      </c>
      <c r="H599" s="141">
        <v>2</v>
      </c>
      <c r="I599" s="141">
        <v>12.08859</v>
      </c>
      <c r="J599" s="141">
        <v>76.393640000000005</v>
      </c>
      <c r="K599" s="141">
        <v>171.77492999999998</v>
      </c>
      <c r="L599" s="141">
        <v>292.60331000000002</v>
      </c>
    </row>
    <row r="600" spans="1:12" ht="31.5">
      <c r="A600" s="136" t="s">
        <v>2736</v>
      </c>
      <c r="B600" s="137" t="s">
        <v>2739</v>
      </c>
      <c r="C600" s="138" t="s">
        <v>682</v>
      </c>
      <c r="D600" s="138" t="s">
        <v>681</v>
      </c>
      <c r="E600" s="136" t="s">
        <v>1571</v>
      </c>
      <c r="F600" s="419">
        <v>43100</v>
      </c>
      <c r="G600" s="140">
        <v>946.50727999999992</v>
      </c>
      <c r="H600" s="140">
        <v>9</v>
      </c>
      <c r="I600" s="140">
        <v>17.194220000000001</v>
      </c>
      <c r="J600" s="140">
        <v>58.632059999999996</v>
      </c>
      <c r="K600" s="140">
        <v>442.74468000000002</v>
      </c>
      <c r="L600" s="140">
        <v>602.71011999999996</v>
      </c>
    </row>
    <row r="601" spans="1:12" ht="21">
      <c r="A601" s="138" t="s">
        <v>2738</v>
      </c>
      <c r="B601" s="135" t="s">
        <v>2741</v>
      </c>
      <c r="C601" s="136" t="s">
        <v>1342</v>
      </c>
      <c r="D601" s="136" t="s">
        <v>1341</v>
      </c>
      <c r="E601" s="138" t="s">
        <v>1571</v>
      </c>
      <c r="F601" s="420">
        <v>43100</v>
      </c>
      <c r="G601" s="141">
        <v>946.42886999999996</v>
      </c>
      <c r="H601" s="141">
        <v>4</v>
      </c>
      <c r="I601" s="141">
        <v>50.698360000000001</v>
      </c>
      <c r="J601" s="141">
        <v>189.84743</v>
      </c>
      <c r="K601" s="141">
        <v>290.29786000000001</v>
      </c>
      <c r="L601" s="141">
        <v>536.11352899999997</v>
      </c>
    </row>
    <row r="602" spans="1:12" ht="21">
      <c r="A602" s="136" t="s">
        <v>2740</v>
      </c>
      <c r="B602" s="137" t="s">
        <v>2743</v>
      </c>
      <c r="C602" s="138" t="s">
        <v>1319</v>
      </c>
      <c r="D602" s="138" t="s">
        <v>1320</v>
      </c>
      <c r="E602" s="136" t="s">
        <v>1571</v>
      </c>
      <c r="F602" s="419">
        <v>43100</v>
      </c>
      <c r="G602" s="140">
        <v>941.19034000000011</v>
      </c>
      <c r="H602" s="140">
        <v>12</v>
      </c>
      <c r="I602" s="140">
        <v>11.040100000000001</v>
      </c>
      <c r="J602" s="140">
        <v>50.590600000000002</v>
      </c>
      <c r="K602" s="140">
        <v>323.28591000000006</v>
      </c>
      <c r="L602" s="140">
        <v>405.11538000000002</v>
      </c>
    </row>
    <row r="603" spans="1:12" ht="31.5">
      <c r="A603" s="138" t="s">
        <v>2742</v>
      </c>
      <c r="B603" s="135" t="s">
        <v>2745</v>
      </c>
      <c r="C603" s="136" t="s">
        <v>928</v>
      </c>
      <c r="D603" s="136" t="s">
        <v>811</v>
      </c>
      <c r="E603" s="138" t="s">
        <v>1571</v>
      </c>
      <c r="F603" s="420">
        <v>43100</v>
      </c>
      <c r="G603" s="141">
        <v>940.08524999999997</v>
      </c>
      <c r="H603" s="141">
        <v>3</v>
      </c>
      <c r="I603" s="141">
        <v>96.816670000000016</v>
      </c>
      <c r="J603" s="141">
        <v>247.14161000000001</v>
      </c>
      <c r="K603" s="141">
        <v>115.488</v>
      </c>
      <c r="L603" s="141">
        <v>459.59368000000001</v>
      </c>
    </row>
    <row r="604" spans="1:12" ht="21">
      <c r="A604" s="136" t="s">
        <v>2744</v>
      </c>
      <c r="B604" s="137" t="s">
        <v>2747</v>
      </c>
      <c r="C604" s="138" t="s">
        <v>1386</v>
      </c>
      <c r="D604" s="138" t="s">
        <v>811</v>
      </c>
      <c r="E604" s="136" t="s">
        <v>1571</v>
      </c>
      <c r="F604" s="419">
        <v>43100</v>
      </c>
      <c r="G604" s="140">
        <v>934.24637000000007</v>
      </c>
      <c r="H604" s="140">
        <v>6</v>
      </c>
      <c r="I604" s="140">
        <v>7.5452900000000005</v>
      </c>
      <c r="J604" s="140">
        <v>21.61853</v>
      </c>
      <c r="K604" s="140">
        <v>206.05161999999999</v>
      </c>
      <c r="L604" s="140">
        <v>237.69091</v>
      </c>
    </row>
    <row r="605" spans="1:12" ht="42">
      <c r="A605" s="138" t="s">
        <v>2746</v>
      </c>
      <c r="B605" s="421" t="s">
        <v>2749</v>
      </c>
      <c r="C605" s="136" t="s">
        <v>1204</v>
      </c>
      <c r="D605" s="136" t="s">
        <v>1203</v>
      </c>
      <c r="E605" s="138" t="s">
        <v>1571</v>
      </c>
      <c r="F605" s="420">
        <v>43100</v>
      </c>
      <c r="G605" s="141">
        <v>933.0668300000001</v>
      </c>
      <c r="H605" s="141">
        <v>15</v>
      </c>
      <c r="I605" s="141">
        <v>-2.7730000000000001E-2</v>
      </c>
      <c r="J605" s="141">
        <v>-12.89992</v>
      </c>
      <c r="K605" s="141">
        <v>449.61094000000003</v>
      </c>
      <c r="L605" s="141">
        <v>543.68379899999991</v>
      </c>
    </row>
    <row r="606" spans="1:12" ht="21">
      <c r="A606" s="136" t="s">
        <v>2748</v>
      </c>
      <c r="B606" s="137" t="s">
        <v>2751</v>
      </c>
      <c r="C606" s="138" t="s">
        <v>801</v>
      </c>
      <c r="D606" s="138" t="s">
        <v>800</v>
      </c>
      <c r="E606" s="136" t="s">
        <v>1571</v>
      </c>
      <c r="F606" s="419">
        <v>42004</v>
      </c>
      <c r="G606" s="140">
        <v>923.61824000000001</v>
      </c>
      <c r="H606" s="140">
        <v>6</v>
      </c>
      <c r="I606" s="140">
        <v>4.1082600000000005</v>
      </c>
      <c r="J606" s="140">
        <v>13.00948</v>
      </c>
      <c r="K606" s="140">
        <v>256.05002000000002</v>
      </c>
      <c r="L606" s="140">
        <v>274.53828000000004</v>
      </c>
    </row>
    <row r="607" spans="1:12" ht="21">
      <c r="A607" s="138" t="s">
        <v>2750</v>
      </c>
      <c r="B607" s="135" t="s">
        <v>2753</v>
      </c>
      <c r="C607" s="136" t="s">
        <v>957</v>
      </c>
      <c r="D607" s="136" t="s">
        <v>811</v>
      </c>
      <c r="E607" s="138" t="s">
        <v>1571</v>
      </c>
      <c r="F607" s="420">
        <v>43100</v>
      </c>
      <c r="G607" s="141">
        <v>914.92280900000003</v>
      </c>
      <c r="H607" s="141">
        <v>9</v>
      </c>
      <c r="I607" s="141">
        <v>11.308</v>
      </c>
      <c r="J607" s="141">
        <v>47.587830000000004</v>
      </c>
      <c r="K607" s="141">
        <v>373.18094000000002</v>
      </c>
      <c r="L607" s="141">
        <v>460.12774999999999</v>
      </c>
    </row>
    <row r="608" spans="1:12" ht="21">
      <c r="A608" s="136" t="s">
        <v>2752</v>
      </c>
      <c r="B608" s="137" t="s">
        <v>2755</v>
      </c>
      <c r="C608" s="138" t="s">
        <v>1298</v>
      </c>
      <c r="D608" s="138" t="s">
        <v>1266</v>
      </c>
      <c r="E608" s="136" t="s">
        <v>1571</v>
      </c>
      <c r="F608" s="419">
        <v>42735</v>
      </c>
      <c r="G608" s="140">
        <v>902.37147000000004</v>
      </c>
      <c r="H608" s="140">
        <v>5</v>
      </c>
      <c r="I608" s="143" t="s">
        <v>189</v>
      </c>
      <c r="J608" s="140">
        <v>-64.590620000000001</v>
      </c>
      <c r="K608" s="140">
        <v>112.27608000000001</v>
      </c>
      <c r="L608" s="140">
        <v>49.93318</v>
      </c>
    </row>
    <row r="609" spans="1:12" ht="21">
      <c r="A609" s="138" t="s">
        <v>2754</v>
      </c>
      <c r="B609" s="135" t="s">
        <v>2757</v>
      </c>
      <c r="C609" s="136" t="s">
        <v>650</v>
      </c>
      <c r="D609" s="136" t="s">
        <v>1622</v>
      </c>
      <c r="E609" s="138" t="s">
        <v>1571</v>
      </c>
      <c r="F609" s="420">
        <v>43100</v>
      </c>
      <c r="G609" s="141">
        <v>899.05230000000006</v>
      </c>
      <c r="H609" s="141">
        <v>13</v>
      </c>
      <c r="I609" s="142" t="s">
        <v>189</v>
      </c>
      <c r="J609" s="141">
        <v>11.74253</v>
      </c>
      <c r="K609" s="141">
        <v>485.41691000000003</v>
      </c>
      <c r="L609" s="141">
        <v>751.42326000000003</v>
      </c>
    </row>
    <row r="610" spans="1:12" ht="42">
      <c r="A610" s="136" t="s">
        <v>2756</v>
      </c>
      <c r="B610" s="137" t="s">
        <v>2759</v>
      </c>
      <c r="C610" s="138" t="s">
        <v>1323</v>
      </c>
      <c r="D610" s="138" t="s">
        <v>1320</v>
      </c>
      <c r="E610" s="136" t="s">
        <v>1571</v>
      </c>
      <c r="F610" s="419">
        <v>43008</v>
      </c>
      <c r="G610" s="140">
        <v>894.14696000000015</v>
      </c>
      <c r="H610" s="140">
        <v>14</v>
      </c>
      <c r="I610" s="140">
        <v>10.210190000000001</v>
      </c>
      <c r="J610" s="140">
        <v>58.161540000000002</v>
      </c>
      <c r="K610" s="140">
        <v>659.20301000000006</v>
      </c>
      <c r="L610" s="140">
        <v>728.24530000000004</v>
      </c>
    </row>
    <row r="611" spans="1:12" ht="42">
      <c r="A611" s="138" t="s">
        <v>2758</v>
      </c>
      <c r="B611" s="135" t="s">
        <v>2761</v>
      </c>
      <c r="C611" s="136" t="s">
        <v>911</v>
      </c>
      <c r="D611" s="136" t="s">
        <v>811</v>
      </c>
      <c r="E611" s="138" t="s">
        <v>1571</v>
      </c>
      <c r="F611" s="420">
        <v>43100</v>
      </c>
      <c r="G611" s="141">
        <v>893.99648000000002</v>
      </c>
      <c r="H611" s="141">
        <v>5</v>
      </c>
      <c r="I611" s="141">
        <v>18.390520000000002</v>
      </c>
      <c r="J611" s="141">
        <v>68.448139999999995</v>
      </c>
      <c r="K611" s="141">
        <v>146.02367999999998</v>
      </c>
      <c r="L611" s="141">
        <v>256.30838</v>
      </c>
    </row>
    <row r="612" spans="1:12">
      <c r="A612" s="136" t="s">
        <v>2760</v>
      </c>
      <c r="B612" s="139" t="s">
        <v>2763</v>
      </c>
      <c r="C612" s="138" t="s">
        <v>882</v>
      </c>
      <c r="D612" s="138" t="s">
        <v>811</v>
      </c>
      <c r="E612" s="136" t="s">
        <v>1571</v>
      </c>
      <c r="F612" s="419">
        <v>43100</v>
      </c>
      <c r="G612" s="140">
        <v>890.05763999999999</v>
      </c>
      <c r="H612" s="140">
        <v>19</v>
      </c>
      <c r="I612" s="140"/>
      <c r="J612" s="140">
        <v>-10.3521</v>
      </c>
      <c r="K612" s="140">
        <v>425.85687999999999</v>
      </c>
      <c r="L612" s="140">
        <v>499.46294</v>
      </c>
    </row>
    <row r="613" spans="1:12">
      <c r="A613" s="138" t="s">
        <v>2762</v>
      </c>
      <c r="B613" s="135" t="s">
        <v>2765</v>
      </c>
      <c r="C613" s="136" t="s">
        <v>894</v>
      </c>
      <c r="D613" s="136" t="s">
        <v>811</v>
      </c>
      <c r="E613" s="138" t="s">
        <v>1571</v>
      </c>
      <c r="F613" s="420">
        <v>42004</v>
      </c>
      <c r="G613" s="141">
        <v>888.07649000000004</v>
      </c>
      <c r="H613" s="141">
        <v>8</v>
      </c>
      <c r="I613" s="142" t="s">
        <v>189</v>
      </c>
      <c r="J613" s="141">
        <v>41.18665</v>
      </c>
      <c r="K613" s="141">
        <v>233.57435999999998</v>
      </c>
      <c r="L613" s="141">
        <v>278.10327000000001</v>
      </c>
    </row>
    <row r="614" spans="1:12" ht="31.5">
      <c r="A614" s="136" t="s">
        <v>2764</v>
      </c>
      <c r="B614" s="137" t="s">
        <v>2767</v>
      </c>
      <c r="C614" s="138" t="s">
        <v>968</v>
      </c>
      <c r="D614" s="138" t="s">
        <v>2768</v>
      </c>
      <c r="E614" s="136" t="s">
        <v>1571</v>
      </c>
      <c r="F614" s="419">
        <v>43100</v>
      </c>
      <c r="G614" s="140">
        <v>886.82655000000011</v>
      </c>
      <c r="H614" s="140">
        <v>7</v>
      </c>
      <c r="I614" s="143" t="s">
        <v>189</v>
      </c>
      <c r="J614" s="140">
        <v>1.54847</v>
      </c>
      <c r="K614" s="140">
        <v>240.60614000000001</v>
      </c>
      <c r="L614" s="140">
        <v>250.79591000000002</v>
      </c>
    </row>
    <row r="615" spans="1:12">
      <c r="A615" s="138" t="s">
        <v>2766</v>
      </c>
      <c r="B615" s="421" t="s">
        <v>2770</v>
      </c>
      <c r="C615" s="136" t="s">
        <v>592</v>
      </c>
      <c r="D615" s="136" t="s">
        <v>596</v>
      </c>
      <c r="E615" s="138" t="s">
        <v>1571</v>
      </c>
      <c r="F615" s="420">
        <v>43100</v>
      </c>
      <c r="G615" s="141">
        <v>885.26532000000009</v>
      </c>
      <c r="H615" s="141">
        <v>10</v>
      </c>
      <c r="I615" s="141">
        <v>55.940860000000001</v>
      </c>
      <c r="J615" s="141">
        <v>143.97673</v>
      </c>
      <c r="K615" s="141">
        <v>432.91947000000005</v>
      </c>
      <c r="L615" s="141">
        <v>643.07602000000009</v>
      </c>
    </row>
    <row r="616" spans="1:12" ht="31.5">
      <c r="A616" s="136" t="s">
        <v>2769</v>
      </c>
      <c r="B616" s="137" t="s">
        <v>2772</v>
      </c>
      <c r="C616" s="138" t="s">
        <v>1046</v>
      </c>
      <c r="D616" s="138" t="s">
        <v>971</v>
      </c>
      <c r="E616" s="136" t="s">
        <v>1571</v>
      </c>
      <c r="F616" s="419">
        <v>42004</v>
      </c>
      <c r="G616" s="140">
        <v>884.32010000000002</v>
      </c>
      <c r="H616" s="140">
        <v>6</v>
      </c>
      <c r="I616" s="143" t="s">
        <v>189</v>
      </c>
      <c r="J616" s="140">
        <v>6.7808900000000003</v>
      </c>
      <c r="K616" s="140">
        <v>301.57360999999997</v>
      </c>
      <c r="L616" s="140">
        <v>321.9871</v>
      </c>
    </row>
    <row r="617" spans="1:12" ht="21">
      <c r="A617" s="138" t="s">
        <v>2771</v>
      </c>
      <c r="B617" s="135" t="s">
        <v>2774</v>
      </c>
      <c r="C617" s="136" t="s">
        <v>1200</v>
      </c>
      <c r="D617" s="136" t="s">
        <v>1197</v>
      </c>
      <c r="E617" s="138" t="s">
        <v>1571</v>
      </c>
      <c r="F617" s="420">
        <v>43100</v>
      </c>
      <c r="G617" s="141">
        <v>882.98927999999989</v>
      </c>
      <c r="H617" s="141">
        <v>8</v>
      </c>
      <c r="I617" s="141"/>
      <c r="J617" s="141">
        <v>40.838080000000005</v>
      </c>
      <c r="K617" s="141">
        <v>195.81464000000003</v>
      </c>
      <c r="L617" s="141">
        <v>241.80590899999999</v>
      </c>
    </row>
    <row r="618" spans="1:12" ht="31.5">
      <c r="A618" s="136" t="s">
        <v>2773</v>
      </c>
      <c r="B618" s="137" t="s">
        <v>2776</v>
      </c>
      <c r="C618" s="138" t="s">
        <v>1176</v>
      </c>
      <c r="D618" s="138" t="s">
        <v>1168</v>
      </c>
      <c r="E618" s="136" t="s">
        <v>1571</v>
      </c>
      <c r="F618" s="419">
        <v>43100</v>
      </c>
      <c r="G618" s="140">
        <v>882.10118999999997</v>
      </c>
      <c r="H618" s="140">
        <v>9</v>
      </c>
      <c r="I618" s="140">
        <v>0.57517000000000007</v>
      </c>
      <c r="J618" s="140">
        <v>8.2115200000000002</v>
      </c>
      <c r="K618" s="140">
        <v>305.97957000000002</v>
      </c>
      <c r="L618" s="140">
        <v>376.62502900000004</v>
      </c>
    </row>
    <row r="619" spans="1:12" ht="31.5">
      <c r="A619" s="138" t="s">
        <v>2775</v>
      </c>
      <c r="B619" s="135" t="s">
        <v>2778</v>
      </c>
      <c r="C619" s="136" t="s">
        <v>1216</v>
      </c>
      <c r="D619" s="136" t="s">
        <v>1215</v>
      </c>
      <c r="E619" s="138" t="s">
        <v>1571</v>
      </c>
      <c r="F619" s="420">
        <v>43100</v>
      </c>
      <c r="G619" s="141">
        <v>880.16287</v>
      </c>
      <c r="H619" s="141">
        <v>9</v>
      </c>
      <c r="I619" s="141">
        <v>0.95085999999999993</v>
      </c>
      <c r="J619" s="141">
        <v>3.0110500000000004</v>
      </c>
      <c r="K619" s="141">
        <v>269.85307</v>
      </c>
      <c r="L619" s="141">
        <v>343.98476900000003</v>
      </c>
    </row>
    <row r="620" spans="1:12" ht="42">
      <c r="A620" s="136" t="s">
        <v>2777</v>
      </c>
      <c r="B620" s="137" t="s">
        <v>2780</v>
      </c>
      <c r="C620" s="138" t="s">
        <v>1175</v>
      </c>
      <c r="D620" s="138" t="s">
        <v>1168</v>
      </c>
      <c r="E620" s="136" t="s">
        <v>1571</v>
      </c>
      <c r="F620" s="419">
        <v>43100</v>
      </c>
      <c r="G620" s="140">
        <v>879.4118400000001</v>
      </c>
      <c r="H620" s="140">
        <v>6</v>
      </c>
      <c r="I620" s="140"/>
      <c r="J620" s="140">
        <v>20.388529999999999</v>
      </c>
      <c r="K620" s="140">
        <v>294.08330999999998</v>
      </c>
      <c r="L620" s="140">
        <v>322.90258900000003</v>
      </c>
    </row>
    <row r="621" spans="1:12" ht="31.5">
      <c r="A621" s="138" t="s">
        <v>2779</v>
      </c>
      <c r="B621" s="135" t="s">
        <v>2782</v>
      </c>
      <c r="C621" s="136" t="s">
        <v>1069</v>
      </c>
      <c r="D621" s="136" t="s">
        <v>969</v>
      </c>
      <c r="E621" s="138" t="s">
        <v>1571</v>
      </c>
      <c r="F621" s="420">
        <v>43100</v>
      </c>
      <c r="G621" s="141">
        <v>878.82337000000007</v>
      </c>
      <c r="H621" s="141">
        <v>12</v>
      </c>
      <c r="I621" s="142" t="s">
        <v>189</v>
      </c>
      <c r="J621" s="141">
        <v>9.4068499999999986</v>
      </c>
      <c r="K621" s="141">
        <v>400.97462999999999</v>
      </c>
      <c r="L621" s="141">
        <v>447.66649999999998</v>
      </c>
    </row>
    <row r="622" spans="1:12" ht="21">
      <c r="A622" s="136" t="s">
        <v>2781</v>
      </c>
      <c r="B622" s="137" t="s">
        <v>2784</v>
      </c>
      <c r="C622" s="138" t="s">
        <v>1015</v>
      </c>
      <c r="D622" s="138" t="s">
        <v>1266</v>
      </c>
      <c r="E622" s="136" t="s">
        <v>1571</v>
      </c>
      <c r="F622" s="419">
        <v>43100</v>
      </c>
      <c r="G622" s="140">
        <v>873.28165000000001</v>
      </c>
      <c r="H622" s="140">
        <v>12</v>
      </c>
      <c r="I622" s="140">
        <v>-0.18262</v>
      </c>
      <c r="J622" s="140">
        <v>60.016570000000002</v>
      </c>
      <c r="K622" s="140">
        <v>397.61152000000004</v>
      </c>
      <c r="L622" s="140">
        <v>481.22305</v>
      </c>
    </row>
    <row r="623" spans="1:12" ht="42">
      <c r="A623" s="138" t="s">
        <v>2783</v>
      </c>
      <c r="B623" s="135" t="s">
        <v>2786</v>
      </c>
      <c r="C623" s="136" t="s">
        <v>1047</v>
      </c>
      <c r="D623" s="136" t="s">
        <v>971</v>
      </c>
      <c r="E623" s="138" t="s">
        <v>1571</v>
      </c>
      <c r="F623" s="420">
        <v>43100</v>
      </c>
      <c r="G623" s="141">
        <v>872.54588999999999</v>
      </c>
      <c r="H623" s="141">
        <v>5</v>
      </c>
      <c r="I623" s="141"/>
      <c r="J623" s="141">
        <v>-17.622709999999998</v>
      </c>
      <c r="K623" s="141">
        <v>137.44444000000001</v>
      </c>
      <c r="L623" s="141">
        <v>136.45277999999999</v>
      </c>
    </row>
    <row r="624" spans="1:12" ht="42">
      <c r="A624" s="136" t="s">
        <v>2785</v>
      </c>
      <c r="B624" s="137" t="s">
        <v>2788</v>
      </c>
      <c r="C624" s="138" t="s">
        <v>631</v>
      </c>
      <c r="D624" s="138" t="s">
        <v>1825</v>
      </c>
      <c r="E624" s="136" t="s">
        <v>1571</v>
      </c>
      <c r="F624" s="419">
        <v>43100</v>
      </c>
      <c r="G624" s="140">
        <v>871.19123000000002</v>
      </c>
      <c r="H624" s="140">
        <v>4</v>
      </c>
      <c r="I624" s="140">
        <v>10.468299999999999</v>
      </c>
      <c r="J624" s="140">
        <v>33.149610000000003</v>
      </c>
      <c r="K624" s="140">
        <v>157.67016000000001</v>
      </c>
      <c r="L624" s="140">
        <v>245.483789</v>
      </c>
    </row>
    <row r="625" spans="1:12" ht="52.5">
      <c r="A625" s="138" t="s">
        <v>2787</v>
      </c>
      <c r="B625" s="135" t="s">
        <v>2790</v>
      </c>
      <c r="C625" s="136" t="s">
        <v>1181</v>
      </c>
      <c r="D625" s="136" t="s">
        <v>1168</v>
      </c>
      <c r="E625" s="138" t="s">
        <v>1571</v>
      </c>
      <c r="F625" s="420">
        <v>43100</v>
      </c>
      <c r="G625" s="141">
        <v>870.92476999999997</v>
      </c>
      <c r="H625" s="141">
        <v>2</v>
      </c>
      <c r="I625" s="141">
        <v>2.5241700000000002</v>
      </c>
      <c r="J625" s="141">
        <v>10.622530000000001</v>
      </c>
      <c r="K625" s="141">
        <v>79.397509999999997</v>
      </c>
      <c r="L625" s="141">
        <v>143.17814000000001</v>
      </c>
    </row>
    <row r="626" spans="1:12" ht="21">
      <c r="A626" s="136" t="s">
        <v>2789</v>
      </c>
      <c r="B626" s="137" t="s">
        <v>2792</v>
      </c>
      <c r="C626" s="138" t="s">
        <v>2793</v>
      </c>
      <c r="D626" s="138" t="s">
        <v>705</v>
      </c>
      <c r="E626" s="136" t="s">
        <v>1571</v>
      </c>
      <c r="F626" s="419">
        <v>43100</v>
      </c>
      <c r="G626" s="140">
        <v>860.10549000000003</v>
      </c>
      <c r="H626" s="140">
        <v>10</v>
      </c>
      <c r="I626" s="140">
        <v>2.9299100000000005</v>
      </c>
      <c r="J626" s="140">
        <v>12.330020000000001</v>
      </c>
      <c r="K626" s="140">
        <v>389.13587000000001</v>
      </c>
      <c r="L626" s="140">
        <v>408.95789000000002</v>
      </c>
    </row>
    <row r="627" spans="1:12" ht="31.5">
      <c r="A627" s="138" t="s">
        <v>2791</v>
      </c>
      <c r="B627" s="135" t="s">
        <v>2795</v>
      </c>
      <c r="C627" s="136" t="s">
        <v>1150</v>
      </c>
      <c r="D627" s="136" t="s">
        <v>753</v>
      </c>
      <c r="E627" s="138" t="s">
        <v>1571</v>
      </c>
      <c r="F627" s="420">
        <v>42735</v>
      </c>
      <c r="G627" s="141">
        <v>858.70388000000003</v>
      </c>
      <c r="H627" s="141">
        <v>7</v>
      </c>
      <c r="I627" s="142" t="s">
        <v>189</v>
      </c>
      <c r="J627" s="141">
        <v>62.649370000000005</v>
      </c>
      <c r="K627" s="141">
        <v>290.45101</v>
      </c>
      <c r="L627" s="141">
        <v>443.06324999999998</v>
      </c>
    </row>
    <row r="628" spans="1:12" ht="52.5">
      <c r="A628" s="136" t="s">
        <v>2794</v>
      </c>
      <c r="B628" s="137" t="s">
        <v>2797</v>
      </c>
      <c r="C628" s="138" t="s">
        <v>1434</v>
      </c>
      <c r="D628" s="138" t="s">
        <v>1429</v>
      </c>
      <c r="E628" s="136" t="s">
        <v>1571</v>
      </c>
      <c r="F628" s="419">
        <v>43100</v>
      </c>
      <c r="G628" s="140">
        <v>847.71967999999993</v>
      </c>
      <c r="H628" s="140">
        <v>7</v>
      </c>
      <c r="I628" s="140">
        <v>16.494880000000002</v>
      </c>
      <c r="J628" s="140">
        <v>69.415929999999989</v>
      </c>
      <c r="K628" s="140">
        <v>169.83634000000001</v>
      </c>
      <c r="L628" s="140">
        <v>270.78682900000001</v>
      </c>
    </row>
    <row r="629" spans="1:12" ht="21">
      <c r="A629" s="138" t="s">
        <v>2796</v>
      </c>
      <c r="B629" s="135" t="s">
        <v>2799</v>
      </c>
      <c r="C629" s="136" t="s">
        <v>1511</v>
      </c>
      <c r="D629" s="136" t="s">
        <v>1501</v>
      </c>
      <c r="E629" s="138" t="s">
        <v>1571</v>
      </c>
      <c r="F629" s="420">
        <v>43100</v>
      </c>
      <c r="G629" s="141">
        <v>839.30684000000008</v>
      </c>
      <c r="H629" s="141">
        <v>9</v>
      </c>
      <c r="I629" s="141">
        <v>5.5416600000000011</v>
      </c>
      <c r="J629" s="141">
        <v>46.93618</v>
      </c>
      <c r="K629" s="141">
        <v>366.37833000000001</v>
      </c>
      <c r="L629" s="141">
        <v>439.27418</v>
      </c>
    </row>
    <row r="630" spans="1:12" ht="21">
      <c r="A630" s="136" t="s">
        <v>2798</v>
      </c>
      <c r="B630" s="137" t="s">
        <v>2801</v>
      </c>
      <c r="C630" s="138" t="s">
        <v>1519</v>
      </c>
      <c r="D630" s="138" t="s">
        <v>1501</v>
      </c>
      <c r="E630" s="136" t="s">
        <v>1571</v>
      </c>
      <c r="F630" s="419">
        <v>43100</v>
      </c>
      <c r="G630" s="140">
        <v>837.12746000000004</v>
      </c>
      <c r="H630" s="140">
        <v>13</v>
      </c>
      <c r="I630" s="140">
        <v>10.476030000000002</v>
      </c>
      <c r="J630" s="140">
        <v>33.174109999999999</v>
      </c>
      <c r="K630" s="140">
        <v>539.77369999999996</v>
      </c>
      <c r="L630" s="140">
        <v>590.60473000000002</v>
      </c>
    </row>
    <row r="631" spans="1:12">
      <c r="A631" s="138" t="s">
        <v>2800</v>
      </c>
      <c r="B631" s="135" t="s">
        <v>2803</v>
      </c>
      <c r="C631" s="136" t="s">
        <v>1146</v>
      </c>
      <c r="D631" s="136" t="s">
        <v>1145</v>
      </c>
      <c r="E631" s="138" t="s">
        <v>1571</v>
      </c>
      <c r="F631" s="420">
        <v>43100</v>
      </c>
      <c r="G631" s="141">
        <v>829.67627899999991</v>
      </c>
      <c r="H631" s="141">
        <v>7</v>
      </c>
      <c r="I631" s="142" t="s">
        <v>189</v>
      </c>
      <c r="J631" s="141">
        <v>-3.1409199999999999</v>
      </c>
      <c r="K631" s="141">
        <v>181.41233</v>
      </c>
      <c r="L631" s="141">
        <v>184.248378</v>
      </c>
    </row>
    <row r="632" spans="1:12" ht="21">
      <c r="A632" s="136" t="s">
        <v>2802</v>
      </c>
      <c r="B632" s="137" t="s">
        <v>2805</v>
      </c>
      <c r="C632" s="138" t="s">
        <v>1030</v>
      </c>
      <c r="D632" s="138" t="s">
        <v>1027</v>
      </c>
      <c r="E632" s="136" t="s">
        <v>1571</v>
      </c>
      <c r="F632" s="419">
        <v>43100</v>
      </c>
      <c r="G632" s="140">
        <v>826.53595000000007</v>
      </c>
      <c r="H632" s="140">
        <v>9</v>
      </c>
      <c r="I632" s="140">
        <v>4.8058800000000002</v>
      </c>
      <c r="J632" s="140">
        <v>29.845050000000001</v>
      </c>
      <c r="K632" s="140">
        <v>352.11685</v>
      </c>
      <c r="L632" s="140">
        <v>417.58303900000004</v>
      </c>
    </row>
    <row r="633" spans="1:12" ht="21">
      <c r="A633" s="138" t="s">
        <v>2804</v>
      </c>
      <c r="B633" s="135" t="s">
        <v>2807</v>
      </c>
      <c r="C633" s="136" t="s">
        <v>714</v>
      </c>
      <c r="D633" s="136" t="s">
        <v>778</v>
      </c>
      <c r="E633" s="138" t="s">
        <v>1571</v>
      </c>
      <c r="F633" s="420">
        <v>43100</v>
      </c>
      <c r="G633" s="141">
        <v>817.39340000000004</v>
      </c>
      <c r="H633" s="141">
        <v>9</v>
      </c>
      <c r="I633" s="141">
        <v>4.0649500000000005</v>
      </c>
      <c r="J633" s="141">
        <v>17.3855</v>
      </c>
      <c r="K633" s="141">
        <v>421.61687000000001</v>
      </c>
      <c r="L633" s="141">
        <v>450.95530000000002</v>
      </c>
    </row>
    <row r="634" spans="1:12">
      <c r="A634" s="136" t="s">
        <v>2806</v>
      </c>
      <c r="B634" s="137" t="s">
        <v>2809</v>
      </c>
      <c r="C634" s="138" t="s">
        <v>923</v>
      </c>
      <c r="D634" s="138" t="s">
        <v>811</v>
      </c>
      <c r="E634" s="136" t="s">
        <v>1571</v>
      </c>
      <c r="F634" s="419">
        <v>43100</v>
      </c>
      <c r="G634" s="140">
        <v>816.83987999999999</v>
      </c>
      <c r="H634" s="140">
        <v>2</v>
      </c>
      <c r="I634" s="140">
        <v>-0.41769000000000001</v>
      </c>
      <c r="J634" s="140">
        <v>7.1906900000000009</v>
      </c>
      <c r="K634" s="140">
        <v>45.593300000000006</v>
      </c>
      <c r="L634" s="140">
        <v>91.591899999999995</v>
      </c>
    </row>
    <row r="635" spans="1:12" ht="42">
      <c r="A635" s="138" t="s">
        <v>2808</v>
      </c>
      <c r="B635" s="135" t="s">
        <v>2811</v>
      </c>
      <c r="C635" s="136" t="s">
        <v>1423</v>
      </c>
      <c r="D635" s="136" t="s">
        <v>1419</v>
      </c>
      <c r="E635" s="138" t="s">
        <v>1571</v>
      </c>
      <c r="F635" s="420">
        <v>43100</v>
      </c>
      <c r="G635" s="141">
        <v>814.32119</v>
      </c>
      <c r="H635" s="141">
        <v>6</v>
      </c>
      <c r="I635" s="141">
        <v>0.26630999999999999</v>
      </c>
      <c r="J635" s="141">
        <v>1.1207200000000002</v>
      </c>
      <c r="K635" s="141">
        <v>192.93083999999999</v>
      </c>
      <c r="L635" s="141">
        <v>202.46736999999999</v>
      </c>
    </row>
    <row r="636" spans="1:12" ht="31.5">
      <c r="A636" s="136" t="s">
        <v>2810</v>
      </c>
      <c r="B636" s="137" t="s">
        <v>2813</v>
      </c>
      <c r="C636" s="138" t="s">
        <v>922</v>
      </c>
      <c r="D636" s="138" t="s">
        <v>811</v>
      </c>
      <c r="E636" s="136" t="s">
        <v>1571</v>
      </c>
      <c r="F636" s="419">
        <v>43100</v>
      </c>
      <c r="G636" s="140">
        <v>803.13139000000001</v>
      </c>
      <c r="H636" s="140">
        <v>7</v>
      </c>
      <c r="I636" s="140">
        <v>7.2030600000000007</v>
      </c>
      <c r="J636" s="140">
        <v>22.80968</v>
      </c>
      <c r="K636" s="140">
        <v>155.32637999999997</v>
      </c>
      <c r="L636" s="140">
        <v>192.27488899999997</v>
      </c>
    </row>
    <row r="637" spans="1:12">
      <c r="A637" s="138" t="s">
        <v>2812</v>
      </c>
      <c r="B637" s="135" t="s">
        <v>2815</v>
      </c>
      <c r="C637" s="136" t="s">
        <v>667</v>
      </c>
      <c r="D637" s="136" t="s">
        <v>668</v>
      </c>
      <c r="E637" s="138" t="s">
        <v>1571</v>
      </c>
      <c r="F637" s="420">
        <v>43100</v>
      </c>
      <c r="G637" s="141">
        <v>802.07500000000005</v>
      </c>
      <c r="H637" s="141">
        <v>6</v>
      </c>
      <c r="I637" s="141">
        <v>8.599969999999999</v>
      </c>
      <c r="J637" s="141">
        <v>23.946849999999998</v>
      </c>
      <c r="K637" s="141">
        <v>329.54727000000003</v>
      </c>
      <c r="L637" s="141">
        <v>418.48473999999999</v>
      </c>
    </row>
    <row r="638" spans="1:12" ht="21">
      <c r="A638" s="136" t="s">
        <v>2814</v>
      </c>
      <c r="B638" s="137" t="s">
        <v>2817</v>
      </c>
      <c r="C638" s="138" t="s">
        <v>1325</v>
      </c>
      <c r="D638" s="138" t="s">
        <v>1320</v>
      </c>
      <c r="E638" s="136" t="s">
        <v>1571</v>
      </c>
      <c r="F638" s="419">
        <v>43100</v>
      </c>
      <c r="G638" s="140">
        <v>799.26927999999998</v>
      </c>
      <c r="H638" s="140">
        <v>5</v>
      </c>
      <c r="I638" s="140"/>
      <c r="J638" s="140">
        <v>87.083180000000013</v>
      </c>
      <c r="K638" s="140">
        <v>152.95787999999999</v>
      </c>
      <c r="L638" s="140">
        <v>298.49718000000001</v>
      </c>
    </row>
    <row r="639" spans="1:12" ht="21">
      <c r="A639" s="138" t="s">
        <v>2816</v>
      </c>
      <c r="B639" s="135" t="s">
        <v>2819</v>
      </c>
      <c r="C639" s="136" t="s">
        <v>648</v>
      </c>
      <c r="D639" s="136" t="s">
        <v>2721</v>
      </c>
      <c r="E639" s="138" t="s">
        <v>1571</v>
      </c>
      <c r="F639" s="420">
        <v>43100</v>
      </c>
      <c r="G639" s="141">
        <v>798.48791000000006</v>
      </c>
      <c r="H639" s="141">
        <v>2</v>
      </c>
      <c r="I639" s="141"/>
      <c r="J639" s="141">
        <v>-8.6726600000000005</v>
      </c>
      <c r="K639" s="141">
        <v>171.26071000000002</v>
      </c>
      <c r="L639" s="141">
        <v>200.92751999999999</v>
      </c>
    </row>
    <row r="640" spans="1:12" ht="42">
      <c r="A640" s="136" t="s">
        <v>2818</v>
      </c>
      <c r="B640" s="137" t="s">
        <v>2821</v>
      </c>
      <c r="C640" s="138" t="s">
        <v>953</v>
      </c>
      <c r="D640" s="138" t="s">
        <v>811</v>
      </c>
      <c r="E640" s="136" t="s">
        <v>1571</v>
      </c>
      <c r="F640" s="419">
        <v>43100</v>
      </c>
      <c r="G640" s="140">
        <v>790.36669999999992</v>
      </c>
      <c r="H640" s="140">
        <v>11</v>
      </c>
      <c r="I640" s="140">
        <v>-0.27647999999999995</v>
      </c>
      <c r="J640" s="140">
        <v>-19.798060000000003</v>
      </c>
      <c r="K640" s="140">
        <v>241.09254999999999</v>
      </c>
      <c r="L640" s="140">
        <v>253.954409</v>
      </c>
    </row>
    <row r="641" spans="1:12" ht="31.5">
      <c r="A641" s="138" t="s">
        <v>2820</v>
      </c>
      <c r="B641" s="135" t="s">
        <v>2823</v>
      </c>
      <c r="C641" s="136" t="s">
        <v>1470</v>
      </c>
      <c r="D641" s="136" t="s">
        <v>1461</v>
      </c>
      <c r="E641" s="138" t="s">
        <v>1571</v>
      </c>
      <c r="F641" s="420">
        <v>43100</v>
      </c>
      <c r="G641" s="141">
        <v>780.68187999999998</v>
      </c>
      <c r="H641" s="141">
        <v>9</v>
      </c>
      <c r="I641" s="141">
        <v>0.95918000000000003</v>
      </c>
      <c r="J641" s="141">
        <v>4.0577300000000003</v>
      </c>
      <c r="K641" s="141">
        <v>312.65229000000005</v>
      </c>
      <c r="L641" s="141">
        <v>351.56960900000001</v>
      </c>
    </row>
    <row r="642" spans="1:12">
      <c r="A642" s="136" t="s">
        <v>2822</v>
      </c>
      <c r="B642" s="137" t="s">
        <v>2825</v>
      </c>
      <c r="C642" s="138" t="s">
        <v>1493</v>
      </c>
      <c r="D642" s="138" t="s">
        <v>1474</v>
      </c>
      <c r="E642" s="136" t="s">
        <v>1571</v>
      </c>
      <c r="F642" s="419">
        <v>43100</v>
      </c>
      <c r="G642" s="140">
        <v>777.52857999999992</v>
      </c>
      <c r="H642" s="140">
        <v>5</v>
      </c>
      <c r="I642" s="140">
        <v>1.6057699999999999</v>
      </c>
      <c r="J642" s="140">
        <v>5.66228</v>
      </c>
      <c r="K642" s="140">
        <v>159.33534999999998</v>
      </c>
      <c r="L642" s="140">
        <v>198.22451000000001</v>
      </c>
    </row>
    <row r="643" spans="1:12">
      <c r="A643" s="138" t="s">
        <v>2824</v>
      </c>
      <c r="B643" s="135" t="s">
        <v>2827</v>
      </c>
      <c r="C643" s="136" t="s">
        <v>849</v>
      </c>
      <c r="D643" s="136" t="s">
        <v>811</v>
      </c>
      <c r="E643" s="138" t="s">
        <v>1571</v>
      </c>
      <c r="F643" s="420">
        <v>43100</v>
      </c>
      <c r="G643" s="141">
        <v>776.19240000000002</v>
      </c>
      <c r="H643" s="141">
        <v>4</v>
      </c>
      <c r="I643" s="142" t="s">
        <v>189</v>
      </c>
      <c r="J643" s="141">
        <v>-21.138470000000002</v>
      </c>
      <c r="K643" s="141">
        <v>135.3194</v>
      </c>
      <c r="L643" s="141">
        <v>128.96719999999999</v>
      </c>
    </row>
    <row r="644" spans="1:12" ht="42">
      <c r="A644" s="136" t="s">
        <v>2826</v>
      </c>
      <c r="B644" s="137" t="s">
        <v>2829</v>
      </c>
      <c r="C644" s="138" t="s">
        <v>1107</v>
      </c>
      <c r="D644" s="138" t="s">
        <v>969</v>
      </c>
      <c r="E644" s="136" t="s">
        <v>1571</v>
      </c>
      <c r="F644" s="419">
        <v>37621</v>
      </c>
      <c r="G644" s="140">
        <v>770.25973999999997</v>
      </c>
      <c r="H644" s="143" t="s">
        <v>189</v>
      </c>
      <c r="I644" s="140">
        <v>6.6370200000000006</v>
      </c>
      <c r="J644" s="140">
        <v>-3.5641599999999998</v>
      </c>
      <c r="K644" s="140">
        <v>136.51419000000001</v>
      </c>
      <c r="L644" s="140">
        <v>182.40781899999999</v>
      </c>
    </row>
    <row r="645" spans="1:12" ht="21">
      <c r="A645" s="138" t="s">
        <v>2828</v>
      </c>
      <c r="B645" s="135" t="s">
        <v>2831</v>
      </c>
      <c r="C645" s="136" t="s">
        <v>1180</v>
      </c>
      <c r="D645" s="136" t="s">
        <v>1168</v>
      </c>
      <c r="E645" s="138" t="s">
        <v>1571</v>
      </c>
      <c r="F645" s="420">
        <v>40178</v>
      </c>
      <c r="G645" s="141">
        <v>770.14561000000003</v>
      </c>
      <c r="H645" s="142" t="s">
        <v>189</v>
      </c>
      <c r="I645" s="141">
        <v>1.13995</v>
      </c>
      <c r="J645" s="141">
        <v>12.96698</v>
      </c>
      <c r="K645" s="141">
        <v>76.435919999999996</v>
      </c>
      <c r="L645" s="141">
        <v>99.315739999999991</v>
      </c>
    </row>
    <row r="646" spans="1:12" ht="31.5">
      <c r="A646" s="136" t="s">
        <v>2830</v>
      </c>
      <c r="B646" s="137" t="s">
        <v>2833</v>
      </c>
      <c r="C646" s="138" t="s">
        <v>1295</v>
      </c>
      <c r="D646" s="138" t="s">
        <v>1266</v>
      </c>
      <c r="E646" s="136" t="s">
        <v>1571</v>
      </c>
      <c r="F646" s="419">
        <v>42735</v>
      </c>
      <c r="G646" s="140">
        <v>767.61975000000007</v>
      </c>
      <c r="H646" s="140">
        <v>12</v>
      </c>
      <c r="I646" s="140">
        <v>4.5331500000000009</v>
      </c>
      <c r="J646" s="140">
        <v>21.604200000000002</v>
      </c>
      <c r="K646" s="140">
        <v>304.20752000000005</v>
      </c>
      <c r="L646" s="140">
        <v>350.20019000000002</v>
      </c>
    </row>
    <row r="647" spans="1:12" ht="21">
      <c r="A647" s="138" t="s">
        <v>2832</v>
      </c>
      <c r="B647" s="135" t="s">
        <v>2835</v>
      </c>
      <c r="C647" s="136" t="s">
        <v>1309</v>
      </c>
      <c r="D647" s="136" t="s">
        <v>2836</v>
      </c>
      <c r="E647" s="138" t="s">
        <v>1571</v>
      </c>
      <c r="F647" s="420">
        <v>43100</v>
      </c>
      <c r="G647" s="141">
        <v>767.21156999999994</v>
      </c>
      <c r="H647" s="141">
        <v>7</v>
      </c>
      <c r="I647" s="141">
        <v>1.36666</v>
      </c>
      <c r="J647" s="141">
        <v>11.575150000000001</v>
      </c>
      <c r="K647" s="141">
        <v>241.00128000000001</v>
      </c>
      <c r="L647" s="141">
        <v>267.28849000000008</v>
      </c>
    </row>
    <row r="648" spans="1:12" ht="21">
      <c r="A648" s="136" t="s">
        <v>2834</v>
      </c>
      <c r="B648" s="137" t="s">
        <v>2838</v>
      </c>
      <c r="C648" s="138" t="s">
        <v>917</v>
      </c>
      <c r="D648" s="138" t="s">
        <v>811</v>
      </c>
      <c r="E648" s="136" t="s">
        <v>1571</v>
      </c>
      <c r="F648" s="419">
        <v>43100</v>
      </c>
      <c r="G648" s="140">
        <v>761.38251000000002</v>
      </c>
      <c r="H648" s="140">
        <v>17</v>
      </c>
      <c r="I648" s="143" t="s">
        <v>189</v>
      </c>
      <c r="J648" s="140">
        <v>-34.4345</v>
      </c>
      <c r="K648" s="140">
        <v>456.39465999999999</v>
      </c>
      <c r="L648" s="140">
        <v>449.31103999999999</v>
      </c>
    </row>
    <row r="649" spans="1:12" ht="31.5">
      <c r="A649" s="138" t="s">
        <v>2837</v>
      </c>
      <c r="B649" s="135" t="s">
        <v>2840</v>
      </c>
      <c r="C649" s="136" t="s">
        <v>1389</v>
      </c>
      <c r="D649" s="136" t="s">
        <v>1797</v>
      </c>
      <c r="E649" s="138" t="s">
        <v>1571</v>
      </c>
      <c r="F649" s="420">
        <v>43100</v>
      </c>
      <c r="G649" s="141">
        <v>759.58408999999995</v>
      </c>
      <c r="H649" s="141">
        <v>8</v>
      </c>
      <c r="I649" s="142" t="s">
        <v>189</v>
      </c>
      <c r="J649" s="141">
        <v>-70.079279999999997</v>
      </c>
      <c r="K649" s="141">
        <v>315.55839000000003</v>
      </c>
      <c r="L649" s="141">
        <v>268.61472000000003</v>
      </c>
    </row>
    <row r="650" spans="1:12" ht="31.5">
      <c r="A650" s="136" t="s">
        <v>2839</v>
      </c>
      <c r="B650" s="137" t="s">
        <v>2842</v>
      </c>
      <c r="C650" s="138" t="s">
        <v>845</v>
      </c>
      <c r="D650" s="138" t="s">
        <v>1456</v>
      </c>
      <c r="E650" s="136" t="s">
        <v>1571</v>
      </c>
      <c r="F650" s="419">
        <v>42735</v>
      </c>
      <c r="G650" s="140">
        <v>758.28764999999999</v>
      </c>
      <c r="H650" s="140">
        <v>8</v>
      </c>
      <c r="I650" s="140">
        <v>2.2406100000000002</v>
      </c>
      <c r="J650" s="140">
        <v>24.817329999999998</v>
      </c>
      <c r="K650" s="140">
        <v>360.49902000000003</v>
      </c>
      <c r="L650" s="140">
        <v>393.21118000000001</v>
      </c>
    </row>
    <row r="651" spans="1:12" ht="31.5">
      <c r="A651" s="138" t="s">
        <v>2841</v>
      </c>
      <c r="B651" s="135" t="s">
        <v>2844</v>
      </c>
      <c r="C651" s="136" t="s">
        <v>818</v>
      </c>
      <c r="D651" s="136" t="s">
        <v>811</v>
      </c>
      <c r="E651" s="138" t="s">
        <v>1571</v>
      </c>
      <c r="F651" s="420">
        <v>43100</v>
      </c>
      <c r="G651" s="141">
        <v>755.54865000000007</v>
      </c>
      <c r="H651" s="141">
        <v>5</v>
      </c>
      <c r="I651" s="141">
        <v>0.98658000000000001</v>
      </c>
      <c r="J651" s="141">
        <v>14.83877</v>
      </c>
      <c r="K651" s="141">
        <v>156.59813</v>
      </c>
      <c r="L651" s="141">
        <v>173.91726</v>
      </c>
    </row>
    <row r="652" spans="1:12" ht="31.5">
      <c r="A652" s="136" t="s">
        <v>2843</v>
      </c>
      <c r="B652" s="137" t="s">
        <v>2846</v>
      </c>
      <c r="C652" s="138" t="s">
        <v>654</v>
      </c>
      <c r="D652" s="138" t="s">
        <v>1622</v>
      </c>
      <c r="E652" s="136" t="s">
        <v>1571</v>
      </c>
      <c r="F652" s="419">
        <v>43100</v>
      </c>
      <c r="G652" s="140">
        <v>754.19573000000003</v>
      </c>
      <c r="H652" s="140">
        <v>14</v>
      </c>
      <c r="I652" s="140">
        <v>7.6624100000000004</v>
      </c>
      <c r="J652" s="140">
        <v>19.70335</v>
      </c>
      <c r="K652" s="140">
        <v>468.71221000000003</v>
      </c>
      <c r="L652" s="140">
        <v>497.86676</v>
      </c>
    </row>
    <row r="653" spans="1:12" ht="31.5">
      <c r="A653" s="138" t="s">
        <v>2845</v>
      </c>
      <c r="B653" s="135" t="s">
        <v>2848</v>
      </c>
      <c r="C653" s="136" t="s">
        <v>1513</v>
      </c>
      <c r="D653" s="136" t="s">
        <v>971</v>
      </c>
      <c r="E653" s="138" t="s">
        <v>1571</v>
      </c>
      <c r="F653" s="420">
        <v>42369</v>
      </c>
      <c r="G653" s="141">
        <v>746.7444200000001</v>
      </c>
      <c r="H653" s="141">
        <v>12</v>
      </c>
      <c r="I653" s="141"/>
      <c r="J653" s="141">
        <v>-68.82929</v>
      </c>
      <c r="K653" s="141">
        <v>614.23451</v>
      </c>
      <c r="L653" s="141">
        <v>525.88819999999998</v>
      </c>
    </row>
    <row r="654" spans="1:12">
      <c r="A654" s="136" t="s">
        <v>2847</v>
      </c>
      <c r="B654" s="137" t="s">
        <v>2850</v>
      </c>
      <c r="C654" s="138" t="s">
        <v>875</v>
      </c>
      <c r="D654" s="138" t="s">
        <v>811</v>
      </c>
      <c r="E654" s="136" t="s">
        <v>1571</v>
      </c>
      <c r="F654" s="419">
        <v>43100</v>
      </c>
      <c r="G654" s="140">
        <v>746.68262000000004</v>
      </c>
      <c r="H654" s="140">
        <v>10</v>
      </c>
      <c r="I654" s="143" t="s">
        <v>189</v>
      </c>
      <c r="J654" s="140">
        <v>24.1462</v>
      </c>
      <c r="K654" s="140">
        <v>429.95851000000005</v>
      </c>
      <c r="L654" s="140">
        <v>480.71283000000005</v>
      </c>
    </row>
    <row r="655" spans="1:12" ht="21">
      <c r="A655" s="138" t="s">
        <v>2849</v>
      </c>
      <c r="B655" s="135" t="s">
        <v>2852</v>
      </c>
      <c r="C655" s="136" t="s">
        <v>1492</v>
      </c>
      <c r="D655" s="136" t="s">
        <v>1474</v>
      </c>
      <c r="E655" s="138" t="s">
        <v>1571</v>
      </c>
      <c r="F655" s="420">
        <v>43100</v>
      </c>
      <c r="G655" s="141">
        <v>744.32282000000009</v>
      </c>
      <c r="H655" s="141">
        <v>4</v>
      </c>
      <c r="I655" s="142" t="s">
        <v>189</v>
      </c>
      <c r="J655" s="141">
        <v>-27.987729999999999</v>
      </c>
      <c r="K655" s="141">
        <v>204.35737</v>
      </c>
      <c r="L655" s="141">
        <v>188.81484</v>
      </c>
    </row>
    <row r="656" spans="1:12">
      <c r="A656" s="136" t="s">
        <v>2851</v>
      </c>
      <c r="B656" s="137" t="s">
        <v>2854</v>
      </c>
      <c r="C656" s="138" t="s">
        <v>771</v>
      </c>
      <c r="D656" s="138" t="s">
        <v>1208</v>
      </c>
      <c r="E656" s="136" t="s">
        <v>1571</v>
      </c>
      <c r="F656" s="419">
        <v>43100</v>
      </c>
      <c r="G656" s="140">
        <v>743.76026000000002</v>
      </c>
      <c r="H656" s="140">
        <v>6</v>
      </c>
      <c r="I656" s="140"/>
      <c r="J656" s="140">
        <v>-87.590260000000001</v>
      </c>
      <c r="K656" s="140">
        <v>315.65858000000003</v>
      </c>
      <c r="L656" s="140">
        <v>222.42147999999997</v>
      </c>
    </row>
    <row r="657" spans="1:12" ht="31.5">
      <c r="A657" s="138" t="s">
        <v>2853</v>
      </c>
      <c r="B657" s="135" t="s">
        <v>2856</v>
      </c>
      <c r="C657" s="136" t="s">
        <v>1065</v>
      </c>
      <c r="D657" s="136" t="s">
        <v>1279</v>
      </c>
      <c r="E657" s="138" t="s">
        <v>1571</v>
      </c>
      <c r="F657" s="420">
        <v>42735</v>
      </c>
      <c r="G657" s="141">
        <v>743.48493000000008</v>
      </c>
      <c r="H657" s="141">
        <v>8</v>
      </c>
      <c r="I657" s="142" t="s">
        <v>189</v>
      </c>
      <c r="J657" s="141">
        <v>91.26418000000001</v>
      </c>
      <c r="K657" s="141">
        <v>322.51789000000002</v>
      </c>
      <c r="L657" s="141">
        <v>552.97282000000007</v>
      </c>
    </row>
    <row r="658" spans="1:12" ht="42">
      <c r="A658" s="136" t="s">
        <v>2855</v>
      </c>
      <c r="B658" s="137" t="s">
        <v>2858</v>
      </c>
      <c r="C658" s="138" t="s">
        <v>1475</v>
      </c>
      <c r="D658" s="138" t="s">
        <v>1474</v>
      </c>
      <c r="E658" s="136" t="s">
        <v>1571</v>
      </c>
      <c r="F658" s="419">
        <v>42004</v>
      </c>
      <c r="G658" s="140">
        <v>743.21501000000001</v>
      </c>
      <c r="H658" s="143" t="s">
        <v>189</v>
      </c>
      <c r="I658" s="143" t="s">
        <v>189</v>
      </c>
      <c r="J658" s="140">
        <v>15.721140000000002</v>
      </c>
      <c r="K658" s="140">
        <v>144.44195999999999</v>
      </c>
      <c r="L658" s="140">
        <v>165.32785999999999</v>
      </c>
    </row>
    <row r="659" spans="1:12" ht="21">
      <c r="A659" s="138" t="s">
        <v>2857</v>
      </c>
      <c r="B659" s="135" t="s">
        <v>2860</v>
      </c>
      <c r="C659" s="136" t="s">
        <v>1408</v>
      </c>
      <c r="D659" s="136" t="s">
        <v>1409</v>
      </c>
      <c r="E659" s="138" t="s">
        <v>1571</v>
      </c>
      <c r="F659" s="420">
        <v>42735</v>
      </c>
      <c r="G659" s="141">
        <v>739.16425000000004</v>
      </c>
      <c r="H659" s="141">
        <v>3</v>
      </c>
      <c r="I659" s="142" t="s">
        <v>189</v>
      </c>
      <c r="J659" s="141">
        <v>16.642418999999997</v>
      </c>
      <c r="K659" s="141">
        <v>133.17910000000001</v>
      </c>
      <c r="L659" s="141">
        <v>161.90839899999997</v>
      </c>
    </row>
    <row r="660" spans="1:12" ht="21">
      <c r="A660" s="136" t="s">
        <v>2859</v>
      </c>
      <c r="B660" s="137" t="s">
        <v>2862</v>
      </c>
      <c r="C660" s="138" t="s">
        <v>1152</v>
      </c>
      <c r="D660" s="138" t="s">
        <v>1145</v>
      </c>
      <c r="E660" s="136" t="s">
        <v>1571</v>
      </c>
      <c r="F660" s="419">
        <v>42369</v>
      </c>
      <c r="G660" s="140">
        <v>734.07414000000006</v>
      </c>
      <c r="H660" s="140">
        <v>17</v>
      </c>
      <c r="I660" s="140">
        <v>10.33539</v>
      </c>
      <c r="J660" s="140">
        <v>32.728740000000002</v>
      </c>
      <c r="K660" s="140">
        <v>175.3629</v>
      </c>
      <c r="L660" s="140">
        <v>518.99049900000011</v>
      </c>
    </row>
    <row r="661" spans="1:12" ht="42">
      <c r="A661" s="138" t="s">
        <v>2861</v>
      </c>
      <c r="B661" s="135" t="s">
        <v>2864</v>
      </c>
      <c r="C661" s="136" t="s">
        <v>761</v>
      </c>
      <c r="D661" s="136" t="s">
        <v>753</v>
      </c>
      <c r="E661" s="138" t="s">
        <v>1571</v>
      </c>
      <c r="F661" s="420">
        <v>43100</v>
      </c>
      <c r="G661" s="141">
        <v>733.16312000000005</v>
      </c>
      <c r="H661" s="141">
        <v>5</v>
      </c>
      <c r="I661" s="142" t="s">
        <v>189</v>
      </c>
      <c r="J661" s="141">
        <v>6.1101900000000002</v>
      </c>
      <c r="K661" s="141">
        <v>272.55349999999999</v>
      </c>
      <c r="L661" s="141">
        <v>285.05008000000004</v>
      </c>
    </row>
    <row r="662" spans="1:12" ht="21">
      <c r="A662" s="136" t="s">
        <v>2863</v>
      </c>
      <c r="B662" s="137" t="s">
        <v>2866</v>
      </c>
      <c r="C662" s="138" t="s">
        <v>1072</v>
      </c>
      <c r="D662" s="138" t="s">
        <v>969</v>
      </c>
      <c r="E662" s="136" t="s">
        <v>1571</v>
      </c>
      <c r="F662" s="419">
        <v>43100</v>
      </c>
      <c r="G662" s="140">
        <v>732.29377899999986</v>
      </c>
      <c r="H662" s="140">
        <v>3</v>
      </c>
      <c r="I662" s="143" t="s">
        <v>189</v>
      </c>
      <c r="J662" s="140">
        <v>-0.37272999999999995</v>
      </c>
      <c r="K662" s="140">
        <v>121.68089999999999</v>
      </c>
      <c r="L662" s="140">
        <v>136.58531999999997</v>
      </c>
    </row>
    <row r="663" spans="1:12" ht="21">
      <c r="A663" s="138" t="s">
        <v>2865</v>
      </c>
      <c r="B663" s="135" t="s">
        <v>2868</v>
      </c>
      <c r="C663" s="136" t="s">
        <v>1078</v>
      </c>
      <c r="D663" s="136" t="s">
        <v>969</v>
      </c>
      <c r="E663" s="138" t="s">
        <v>1571</v>
      </c>
      <c r="F663" s="420">
        <v>43100</v>
      </c>
      <c r="G663" s="141">
        <v>731.43256000000008</v>
      </c>
      <c r="H663" s="141">
        <v>5</v>
      </c>
      <c r="I663" s="141"/>
      <c r="J663" s="141">
        <v>-93.257459999999995</v>
      </c>
      <c r="K663" s="141">
        <v>136.27697000000001</v>
      </c>
      <c r="L663" s="141">
        <v>13.963349999999998</v>
      </c>
    </row>
    <row r="664" spans="1:12" ht="31.5">
      <c r="A664" s="136" t="s">
        <v>2867</v>
      </c>
      <c r="B664" s="137" t="s">
        <v>2870</v>
      </c>
      <c r="C664" s="138" t="s">
        <v>1407</v>
      </c>
      <c r="D664" s="138" t="s">
        <v>1406</v>
      </c>
      <c r="E664" s="136" t="s">
        <v>1571</v>
      </c>
      <c r="F664" s="419">
        <v>43100</v>
      </c>
      <c r="G664" s="140">
        <v>728.85416999999995</v>
      </c>
      <c r="H664" s="140">
        <v>11</v>
      </c>
      <c r="I664" s="143" t="s">
        <v>189</v>
      </c>
      <c r="J664" s="140">
        <v>10.93845</v>
      </c>
      <c r="K664" s="140">
        <v>277.94023000000004</v>
      </c>
      <c r="L664" s="140">
        <v>318.18249000000003</v>
      </c>
    </row>
    <row r="665" spans="1:12" ht="21">
      <c r="A665" s="138" t="s">
        <v>2869</v>
      </c>
      <c r="B665" s="135" t="s">
        <v>2872</v>
      </c>
      <c r="C665" s="136" t="s">
        <v>942</v>
      </c>
      <c r="D665" s="136" t="s">
        <v>811</v>
      </c>
      <c r="E665" s="138" t="s">
        <v>1571</v>
      </c>
      <c r="F665" s="420">
        <v>43100</v>
      </c>
      <c r="G665" s="141">
        <v>726.07271000000003</v>
      </c>
      <c r="H665" s="141">
        <v>5</v>
      </c>
      <c r="I665" s="141">
        <v>3.3685100000000001</v>
      </c>
      <c r="J665" s="141">
        <v>28.530280000000005</v>
      </c>
      <c r="K665" s="141">
        <v>156.47192999999999</v>
      </c>
      <c r="L665" s="141">
        <v>205.71457000000001</v>
      </c>
    </row>
    <row r="666" spans="1:12" ht="42">
      <c r="A666" s="136" t="s">
        <v>2871</v>
      </c>
      <c r="B666" s="137" t="s">
        <v>2874</v>
      </c>
      <c r="C666" s="138" t="s">
        <v>1352</v>
      </c>
      <c r="D666" s="138" t="s">
        <v>1341</v>
      </c>
      <c r="E666" s="136" t="s">
        <v>1571</v>
      </c>
      <c r="F666" s="419">
        <v>43100</v>
      </c>
      <c r="G666" s="140">
        <v>720.93599000000006</v>
      </c>
      <c r="H666" s="140">
        <v>11</v>
      </c>
      <c r="I666" s="140">
        <v>2.7986999999999997</v>
      </c>
      <c r="J666" s="140">
        <v>4.60989</v>
      </c>
      <c r="K666" s="140">
        <v>402.83035000000001</v>
      </c>
      <c r="L666" s="140">
        <v>412.38257000000004</v>
      </c>
    </row>
    <row r="667" spans="1:12" ht="21">
      <c r="A667" s="138" t="s">
        <v>2873</v>
      </c>
      <c r="B667" s="135" t="s">
        <v>2876</v>
      </c>
      <c r="C667" s="136" t="s">
        <v>1538</v>
      </c>
      <c r="D667" s="136" t="s">
        <v>1279</v>
      </c>
      <c r="E667" s="138" t="s">
        <v>1571</v>
      </c>
      <c r="F667" s="420">
        <v>43100</v>
      </c>
      <c r="G667" s="141">
        <v>718.97236000000009</v>
      </c>
      <c r="H667" s="141">
        <v>4</v>
      </c>
      <c r="I667" s="141">
        <v>2.1165500000000002</v>
      </c>
      <c r="J667" s="141">
        <v>7.6823000000000006</v>
      </c>
      <c r="K667" s="141">
        <v>173.40385999999998</v>
      </c>
      <c r="L667" s="141">
        <v>202.14571000000004</v>
      </c>
    </row>
    <row r="668" spans="1:12" ht="31.5">
      <c r="A668" s="136" t="s">
        <v>2875</v>
      </c>
      <c r="B668" s="137" t="s">
        <v>2878</v>
      </c>
      <c r="C668" s="138" t="s">
        <v>989</v>
      </c>
      <c r="D668" s="138" t="s">
        <v>975</v>
      </c>
      <c r="E668" s="136" t="s">
        <v>1571</v>
      </c>
      <c r="F668" s="419">
        <v>43100</v>
      </c>
      <c r="G668" s="140">
        <v>718.78187000000003</v>
      </c>
      <c r="H668" s="140">
        <v>1</v>
      </c>
      <c r="I668" s="140">
        <v>2.8739999999999998E-2</v>
      </c>
      <c r="J668" s="140">
        <v>0.12096000000000001</v>
      </c>
      <c r="K668" s="140">
        <v>51.891410000000008</v>
      </c>
      <c r="L668" s="140">
        <v>55.074110000000005</v>
      </c>
    </row>
    <row r="669" spans="1:12" ht="52.5">
      <c r="A669" s="138" t="s">
        <v>2877</v>
      </c>
      <c r="B669" s="135" t="s">
        <v>2880</v>
      </c>
      <c r="C669" s="136" t="s">
        <v>1357</v>
      </c>
      <c r="D669" s="136" t="s">
        <v>1341</v>
      </c>
      <c r="E669" s="138" t="s">
        <v>1571</v>
      </c>
      <c r="F669" s="420">
        <v>43100</v>
      </c>
      <c r="G669" s="141">
        <v>715.64674000000002</v>
      </c>
      <c r="H669" s="141">
        <v>6</v>
      </c>
      <c r="I669" s="142" t="s">
        <v>189</v>
      </c>
      <c r="J669" s="141">
        <v>40.98789</v>
      </c>
      <c r="K669" s="141">
        <v>128.43743000000001</v>
      </c>
      <c r="L669" s="141">
        <v>233.54191999999998</v>
      </c>
    </row>
    <row r="670" spans="1:12" ht="21">
      <c r="A670" s="136" t="s">
        <v>2879</v>
      </c>
      <c r="B670" s="137" t="s">
        <v>2882</v>
      </c>
      <c r="C670" s="138" t="s">
        <v>851</v>
      </c>
      <c r="D670" s="138" t="s">
        <v>811</v>
      </c>
      <c r="E670" s="136" t="s">
        <v>1571</v>
      </c>
      <c r="F670" s="419">
        <v>43100</v>
      </c>
      <c r="G670" s="140">
        <v>715.31088999999997</v>
      </c>
      <c r="H670" s="140">
        <v>6</v>
      </c>
      <c r="I670" s="140">
        <v>7.6492299999999993</v>
      </c>
      <c r="J670" s="140">
        <v>24.016080000000002</v>
      </c>
      <c r="K670" s="140">
        <v>180.45351000000002</v>
      </c>
      <c r="L670" s="140">
        <v>222.60431</v>
      </c>
    </row>
    <row r="671" spans="1:12" ht="21">
      <c r="A671" s="138" t="s">
        <v>2881</v>
      </c>
      <c r="B671" s="135" t="s">
        <v>2884</v>
      </c>
      <c r="C671" s="136" t="s">
        <v>1224</v>
      </c>
      <c r="D671" s="136" t="s">
        <v>1225</v>
      </c>
      <c r="E671" s="138" t="s">
        <v>1571</v>
      </c>
      <c r="F671" s="420">
        <v>43100</v>
      </c>
      <c r="G671" s="141">
        <v>709.42139899999995</v>
      </c>
      <c r="H671" s="141">
        <v>7</v>
      </c>
      <c r="I671" s="142" t="s">
        <v>189</v>
      </c>
      <c r="J671" s="141">
        <v>-5.6681100000000004</v>
      </c>
      <c r="K671" s="141">
        <v>247.79934999999998</v>
      </c>
      <c r="L671" s="141">
        <v>252.03073000000001</v>
      </c>
    </row>
    <row r="672" spans="1:12" ht="52.5">
      <c r="A672" s="136" t="s">
        <v>2883</v>
      </c>
      <c r="B672" s="137" t="s">
        <v>2886</v>
      </c>
      <c r="C672" s="138" t="s">
        <v>927</v>
      </c>
      <c r="D672" s="138" t="s">
        <v>1279</v>
      </c>
      <c r="E672" s="136" t="s">
        <v>1571</v>
      </c>
      <c r="F672" s="419">
        <v>43100</v>
      </c>
      <c r="G672" s="140">
        <v>708.59540000000004</v>
      </c>
      <c r="H672" s="140">
        <v>7</v>
      </c>
      <c r="I672" s="140">
        <v>15.13081</v>
      </c>
      <c r="J672" s="140">
        <v>57.372759999999992</v>
      </c>
      <c r="K672" s="140">
        <v>194.06620000000001</v>
      </c>
      <c r="L672" s="140">
        <v>305.29714999999999</v>
      </c>
    </row>
    <row r="673" spans="1:12" ht="31.5">
      <c r="A673" s="138" t="s">
        <v>2885</v>
      </c>
      <c r="B673" s="135" t="s">
        <v>2888</v>
      </c>
      <c r="C673" s="136" t="s">
        <v>1157</v>
      </c>
      <c r="D673" s="136" t="s">
        <v>1156</v>
      </c>
      <c r="E673" s="138" t="s">
        <v>1571</v>
      </c>
      <c r="F673" s="420">
        <v>42735</v>
      </c>
      <c r="G673" s="141">
        <v>704.03294000000005</v>
      </c>
      <c r="H673" s="141">
        <v>12</v>
      </c>
      <c r="I673" s="142" t="s">
        <v>189</v>
      </c>
      <c r="J673" s="141">
        <v>18.076910000000002</v>
      </c>
      <c r="K673" s="141">
        <v>120.54422000000001</v>
      </c>
      <c r="L673" s="141">
        <v>140.57291000000001</v>
      </c>
    </row>
    <row r="674" spans="1:12" ht="31.5">
      <c r="A674" s="136" t="s">
        <v>2887</v>
      </c>
      <c r="B674" s="137" t="s">
        <v>2890</v>
      </c>
      <c r="C674" s="138" t="s">
        <v>594</v>
      </c>
      <c r="D674" s="138" t="s">
        <v>596</v>
      </c>
      <c r="E674" s="136" t="s">
        <v>1571</v>
      </c>
      <c r="F674" s="419">
        <v>43100</v>
      </c>
      <c r="G674" s="140">
        <v>697.17132000000004</v>
      </c>
      <c r="H674" s="140">
        <v>10</v>
      </c>
      <c r="I674" s="140">
        <v>6.3930000000000001E-2</v>
      </c>
      <c r="J674" s="140">
        <v>0.54142000000000001</v>
      </c>
      <c r="K674" s="140">
        <v>310.63996000000003</v>
      </c>
      <c r="L674" s="140">
        <v>350.81895000000003</v>
      </c>
    </row>
    <row r="675" spans="1:12">
      <c r="A675" s="138" t="s">
        <v>2889</v>
      </c>
      <c r="B675" s="135" t="s">
        <v>2892</v>
      </c>
      <c r="C675" s="136" t="s">
        <v>853</v>
      </c>
      <c r="D675" s="136" t="s">
        <v>811</v>
      </c>
      <c r="E675" s="138" t="s">
        <v>1571</v>
      </c>
      <c r="F675" s="420">
        <v>43100</v>
      </c>
      <c r="G675" s="141">
        <v>695.36317999999994</v>
      </c>
      <c r="H675" s="141">
        <v>9</v>
      </c>
      <c r="I675" s="141">
        <v>0.5563499999999999</v>
      </c>
      <c r="J675" s="141">
        <v>4.7120600000000001</v>
      </c>
      <c r="K675" s="141">
        <v>234.55688999999998</v>
      </c>
      <c r="L675" s="141">
        <v>249.46027000000004</v>
      </c>
    </row>
    <row r="676" spans="1:12">
      <c r="A676" s="136" t="s">
        <v>2891</v>
      </c>
      <c r="B676" s="137" t="s">
        <v>2894</v>
      </c>
      <c r="C676" s="138" t="s">
        <v>874</v>
      </c>
      <c r="D676" s="138" t="s">
        <v>811</v>
      </c>
      <c r="E676" s="136" t="s">
        <v>1571</v>
      </c>
      <c r="F676" s="419">
        <v>43100</v>
      </c>
      <c r="G676" s="140">
        <v>695.2629300000001</v>
      </c>
      <c r="H676" s="140">
        <v>5</v>
      </c>
      <c r="I676" s="140">
        <v>3.1638500000000005</v>
      </c>
      <c r="J676" s="140">
        <v>10.018840000000001</v>
      </c>
      <c r="K676" s="140">
        <v>100.76627000000001</v>
      </c>
      <c r="L676" s="140">
        <v>119.00657000000001</v>
      </c>
    </row>
    <row r="677" spans="1:12" ht="21">
      <c r="A677" s="138" t="s">
        <v>2893</v>
      </c>
      <c r="B677" s="135" t="s">
        <v>2896</v>
      </c>
      <c r="C677" s="136" t="s">
        <v>1322</v>
      </c>
      <c r="D677" s="136" t="s">
        <v>1320</v>
      </c>
      <c r="E677" s="138" t="s">
        <v>1571</v>
      </c>
      <c r="F677" s="420">
        <v>43100</v>
      </c>
      <c r="G677" s="141">
        <v>691.91219000000001</v>
      </c>
      <c r="H677" s="141">
        <v>1</v>
      </c>
      <c r="I677" s="141">
        <v>14.26956</v>
      </c>
      <c r="J677" s="141">
        <v>20.979309999999998</v>
      </c>
      <c r="K677" s="141">
        <v>74.184070000000006</v>
      </c>
      <c r="L677" s="141">
        <v>113.34833999999999</v>
      </c>
    </row>
    <row r="678" spans="1:12">
      <c r="A678" s="136" t="s">
        <v>2895</v>
      </c>
      <c r="B678" s="137" t="s">
        <v>2898</v>
      </c>
      <c r="C678" s="138" t="s">
        <v>1130</v>
      </c>
      <c r="D678" s="138" t="s">
        <v>1112</v>
      </c>
      <c r="E678" s="136" t="s">
        <v>1571</v>
      </c>
      <c r="F678" s="419">
        <v>42735</v>
      </c>
      <c r="G678" s="140">
        <v>690.25084000000015</v>
      </c>
      <c r="H678" s="140">
        <v>6</v>
      </c>
      <c r="I678" s="140">
        <v>0.16328000000000001</v>
      </c>
      <c r="J678" s="140">
        <v>31.203530000000001</v>
      </c>
      <c r="K678" s="140">
        <v>93.270120000000006</v>
      </c>
      <c r="L678" s="140">
        <v>131.229769</v>
      </c>
    </row>
    <row r="679" spans="1:12" ht="31.5">
      <c r="A679" s="138" t="s">
        <v>2897</v>
      </c>
      <c r="B679" s="135" t="s">
        <v>2900</v>
      </c>
      <c r="C679" s="136" t="s">
        <v>1073</v>
      </c>
      <c r="D679" s="136" t="s">
        <v>969</v>
      </c>
      <c r="E679" s="138" t="s">
        <v>1571</v>
      </c>
      <c r="F679" s="420">
        <v>43100</v>
      </c>
      <c r="G679" s="141">
        <v>688.75727999999992</v>
      </c>
      <c r="H679" s="141">
        <v>4</v>
      </c>
      <c r="I679" s="141">
        <v>2.07456</v>
      </c>
      <c r="J679" s="141">
        <v>8.7304499999999994</v>
      </c>
      <c r="K679" s="141">
        <v>196.06357</v>
      </c>
      <c r="L679" s="141">
        <v>222.58506</v>
      </c>
    </row>
    <row r="680" spans="1:12" ht="21">
      <c r="A680" s="136" t="s">
        <v>2899</v>
      </c>
      <c r="B680" s="137" t="s">
        <v>2902</v>
      </c>
      <c r="C680" s="138" t="s">
        <v>1452</v>
      </c>
      <c r="D680" s="138" t="s">
        <v>1451</v>
      </c>
      <c r="E680" s="136" t="s">
        <v>1571</v>
      </c>
      <c r="F680" s="419">
        <v>43100</v>
      </c>
      <c r="G680" s="140">
        <v>688.3516699999999</v>
      </c>
      <c r="H680" s="140">
        <v>5</v>
      </c>
      <c r="I680" s="140">
        <v>2.0480900000000002</v>
      </c>
      <c r="J680" s="140">
        <v>8.4122100000000017</v>
      </c>
      <c r="K680" s="140">
        <v>86.962000000000003</v>
      </c>
      <c r="L680" s="140">
        <v>104.75678000000001</v>
      </c>
    </row>
    <row r="681" spans="1:12" ht="21">
      <c r="A681" s="138" t="s">
        <v>2901</v>
      </c>
      <c r="B681" s="135" t="s">
        <v>2904</v>
      </c>
      <c r="C681" s="136" t="s">
        <v>1101</v>
      </c>
      <c r="D681" s="136" t="s">
        <v>969</v>
      </c>
      <c r="E681" s="138" t="s">
        <v>1571</v>
      </c>
      <c r="F681" s="420">
        <v>43100</v>
      </c>
      <c r="G681" s="141">
        <v>684.05110000000002</v>
      </c>
      <c r="H681" s="141">
        <v>2</v>
      </c>
      <c r="I681" s="141">
        <v>0.84243999999999997</v>
      </c>
      <c r="J681" s="141">
        <v>2.16628</v>
      </c>
      <c r="K681" s="141">
        <v>123.08004</v>
      </c>
      <c r="L681" s="141">
        <v>128.67398</v>
      </c>
    </row>
    <row r="682" spans="1:12" ht="21">
      <c r="A682" s="136" t="s">
        <v>2903</v>
      </c>
      <c r="B682" s="137" t="s">
        <v>2906</v>
      </c>
      <c r="C682" s="138" t="s">
        <v>721</v>
      </c>
      <c r="D682" s="138" t="s">
        <v>722</v>
      </c>
      <c r="E682" s="136" t="s">
        <v>1571</v>
      </c>
      <c r="F682" s="419">
        <v>43100</v>
      </c>
      <c r="G682" s="140">
        <v>678.82437000000004</v>
      </c>
      <c r="H682" s="140">
        <v>2</v>
      </c>
      <c r="I682" s="140">
        <v>6.4988200000000012</v>
      </c>
      <c r="J682" s="140">
        <v>27.349160000000001</v>
      </c>
      <c r="K682" s="140">
        <v>138.45689999999999</v>
      </c>
      <c r="L682" s="140">
        <v>185.46916000000002</v>
      </c>
    </row>
    <row r="683" spans="1:12" ht="31.5">
      <c r="A683" s="138" t="s">
        <v>2905</v>
      </c>
      <c r="B683" s="135" t="s">
        <v>2908</v>
      </c>
      <c r="C683" s="136" t="s">
        <v>1307</v>
      </c>
      <c r="D683" s="136" t="s">
        <v>1305</v>
      </c>
      <c r="E683" s="138" t="s">
        <v>1571</v>
      </c>
      <c r="F683" s="420">
        <v>43100</v>
      </c>
      <c r="G683" s="141">
        <v>676.88128899999992</v>
      </c>
      <c r="H683" s="141">
        <v>3</v>
      </c>
      <c r="I683" s="141">
        <v>8.2583079999999995</v>
      </c>
      <c r="J683" s="141">
        <v>34.753740000000001</v>
      </c>
      <c r="K683" s="141">
        <v>143.17514000000003</v>
      </c>
      <c r="L683" s="141">
        <v>193.11922800000002</v>
      </c>
    </row>
    <row r="684" spans="1:12" ht="31.5">
      <c r="A684" s="136" t="s">
        <v>2907</v>
      </c>
      <c r="B684" s="137" t="s">
        <v>2910</v>
      </c>
      <c r="C684" s="138" t="s">
        <v>960</v>
      </c>
      <c r="D684" s="138" t="s">
        <v>811</v>
      </c>
      <c r="E684" s="136" t="s">
        <v>1571</v>
      </c>
      <c r="F684" s="419">
        <v>43100</v>
      </c>
      <c r="G684" s="140">
        <v>674.45222999999999</v>
      </c>
      <c r="H684" s="140">
        <v>5</v>
      </c>
      <c r="I684" s="143" t="s">
        <v>189</v>
      </c>
      <c r="J684" s="140">
        <v>25.394480000000005</v>
      </c>
      <c r="K684" s="140">
        <v>187.96587999999997</v>
      </c>
      <c r="L684" s="140">
        <v>229.04743999999999</v>
      </c>
    </row>
    <row r="685" spans="1:12" ht="42">
      <c r="A685" s="138" t="s">
        <v>2909</v>
      </c>
      <c r="B685" s="135" t="s">
        <v>2912</v>
      </c>
      <c r="C685" s="136" t="s">
        <v>940</v>
      </c>
      <c r="D685" s="136" t="s">
        <v>811</v>
      </c>
      <c r="E685" s="138" t="s">
        <v>1571</v>
      </c>
      <c r="F685" s="420">
        <v>43100</v>
      </c>
      <c r="G685" s="141">
        <v>669.96613000000002</v>
      </c>
      <c r="H685" s="141">
        <v>10</v>
      </c>
      <c r="I685" s="141"/>
      <c r="J685" s="141">
        <v>73.754739999999998</v>
      </c>
      <c r="K685" s="141">
        <v>342.64291000000003</v>
      </c>
      <c r="L685" s="141">
        <v>424.46393000000006</v>
      </c>
    </row>
    <row r="686" spans="1:12">
      <c r="A686" s="136" t="s">
        <v>2911</v>
      </c>
      <c r="B686" s="137" t="s">
        <v>2914</v>
      </c>
      <c r="C686" s="138" t="s">
        <v>769</v>
      </c>
      <c r="D686" s="138" t="s">
        <v>753</v>
      </c>
      <c r="E686" s="136" t="s">
        <v>1571</v>
      </c>
      <c r="F686" s="419">
        <v>43100</v>
      </c>
      <c r="G686" s="140">
        <v>656.55254000000002</v>
      </c>
      <c r="H686" s="140">
        <v>7</v>
      </c>
      <c r="I686" s="140">
        <v>12.167240000000001</v>
      </c>
      <c r="J686" s="140">
        <v>33.642209999999999</v>
      </c>
      <c r="K686" s="140">
        <v>311.36225999999999</v>
      </c>
      <c r="L686" s="140">
        <v>419.65729000000005</v>
      </c>
    </row>
    <row r="687" spans="1:12" ht="63">
      <c r="A687" s="138" t="s">
        <v>2913</v>
      </c>
      <c r="B687" s="135" t="s">
        <v>2916</v>
      </c>
      <c r="C687" s="136" t="s">
        <v>1308</v>
      </c>
      <c r="D687" s="136" t="s">
        <v>1305</v>
      </c>
      <c r="E687" s="138" t="s">
        <v>1571</v>
      </c>
      <c r="F687" s="420">
        <v>43100</v>
      </c>
      <c r="G687" s="141">
        <v>654.54300000000001</v>
      </c>
      <c r="H687" s="141">
        <v>3</v>
      </c>
      <c r="I687" s="141">
        <v>3.1532</v>
      </c>
      <c r="J687" s="141">
        <v>26.03012</v>
      </c>
      <c r="K687" s="141">
        <v>101.17953999999999</v>
      </c>
      <c r="L687" s="141">
        <v>137.52602999999999</v>
      </c>
    </row>
    <row r="688" spans="1:12" ht="31.5">
      <c r="A688" s="136" t="s">
        <v>2915</v>
      </c>
      <c r="B688" s="137" t="s">
        <v>2918</v>
      </c>
      <c r="C688" s="138" t="s">
        <v>1232</v>
      </c>
      <c r="D688" s="138" t="s">
        <v>1235</v>
      </c>
      <c r="E688" s="136" t="s">
        <v>1571</v>
      </c>
      <c r="F688" s="419">
        <v>43100</v>
      </c>
      <c r="G688" s="140">
        <v>649.18465000000003</v>
      </c>
      <c r="H688" s="140">
        <v>7</v>
      </c>
      <c r="I688" s="140">
        <v>4.4013800000000005</v>
      </c>
      <c r="J688" s="140">
        <v>138.94237000000001</v>
      </c>
      <c r="K688" s="140">
        <v>201.57407999999998</v>
      </c>
      <c r="L688" s="140">
        <v>371.24912900000004</v>
      </c>
    </row>
    <row r="689" spans="1:12" ht="21">
      <c r="A689" s="138" t="s">
        <v>2917</v>
      </c>
      <c r="B689" s="135" t="s">
        <v>2920</v>
      </c>
      <c r="C689" s="136" t="s">
        <v>1000</v>
      </c>
      <c r="D689" s="136" t="s">
        <v>975</v>
      </c>
      <c r="E689" s="138" t="s">
        <v>1571</v>
      </c>
      <c r="F689" s="420">
        <v>41639</v>
      </c>
      <c r="G689" s="141">
        <v>648.137519</v>
      </c>
      <c r="H689" s="141">
        <v>9</v>
      </c>
      <c r="I689" s="142" t="s">
        <v>189</v>
      </c>
      <c r="J689" s="141">
        <v>-133.35947999999999</v>
      </c>
      <c r="K689" s="141">
        <v>302.70478000000003</v>
      </c>
      <c r="L689" s="141">
        <v>181.90182999999999</v>
      </c>
    </row>
    <row r="690" spans="1:12" ht="31.5">
      <c r="A690" s="136" t="s">
        <v>2919</v>
      </c>
      <c r="B690" s="137" t="s">
        <v>2922</v>
      </c>
      <c r="C690" s="138" t="s">
        <v>1543</v>
      </c>
      <c r="D690" s="138" t="s">
        <v>1279</v>
      </c>
      <c r="E690" s="136" t="s">
        <v>1571</v>
      </c>
      <c r="F690" s="419">
        <v>43100</v>
      </c>
      <c r="G690" s="140">
        <v>647.31596999999999</v>
      </c>
      <c r="H690" s="143" t="s">
        <v>189</v>
      </c>
      <c r="I690" s="143" t="s">
        <v>189</v>
      </c>
      <c r="J690" s="140">
        <v>12.446949999999999</v>
      </c>
      <c r="K690" s="140">
        <v>244.76973000000001</v>
      </c>
      <c r="L690" s="140">
        <v>271.17702000000003</v>
      </c>
    </row>
    <row r="691" spans="1:12" ht="21">
      <c r="A691" s="138" t="s">
        <v>2921</v>
      </c>
      <c r="B691" s="135" t="s">
        <v>2924</v>
      </c>
      <c r="C691" s="136" t="s">
        <v>1469</v>
      </c>
      <c r="D691" s="136" t="s">
        <v>1461</v>
      </c>
      <c r="E691" s="138" t="s">
        <v>1571</v>
      </c>
      <c r="F691" s="420">
        <v>43100</v>
      </c>
      <c r="G691" s="141">
        <v>646.92646999999999</v>
      </c>
      <c r="H691" s="141">
        <v>7</v>
      </c>
      <c r="I691" s="141">
        <v>0.31604000000000004</v>
      </c>
      <c r="J691" s="141">
        <v>1.1728699999999999</v>
      </c>
      <c r="K691" s="141">
        <v>201.31174000000001</v>
      </c>
      <c r="L691" s="141">
        <v>209.76476000000002</v>
      </c>
    </row>
    <row r="692" spans="1:12" ht="21">
      <c r="A692" s="136" t="s">
        <v>2923</v>
      </c>
      <c r="B692" s="137" t="s">
        <v>2926</v>
      </c>
      <c r="C692" s="138" t="s">
        <v>679</v>
      </c>
      <c r="D692" s="138" t="s">
        <v>673</v>
      </c>
      <c r="E692" s="136" t="s">
        <v>1571</v>
      </c>
      <c r="F692" s="419">
        <v>43100</v>
      </c>
      <c r="G692" s="140">
        <v>646.84603900000002</v>
      </c>
      <c r="H692" s="140">
        <v>12</v>
      </c>
      <c r="I692" s="140">
        <v>-0.14610000000000001</v>
      </c>
      <c r="J692" s="140">
        <v>-85.437470000000005</v>
      </c>
      <c r="K692" s="140">
        <v>365.05679000000003</v>
      </c>
      <c r="L692" s="140">
        <v>285.11256000000003</v>
      </c>
    </row>
    <row r="693" spans="1:12">
      <c r="A693" s="138" t="s">
        <v>2925</v>
      </c>
      <c r="B693" s="135" t="s">
        <v>2928</v>
      </c>
      <c r="C693" s="136" t="s">
        <v>1405</v>
      </c>
      <c r="D693" s="136" t="s">
        <v>1404</v>
      </c>
      <c r="E693" s="138" t="s">
        <v>1571</v>
      </c>
      <c r="F693" s="420">
        <v>43100</v>
      </c>
      <c r="G693" s="141">
        <v>644.38867999999991</v>
      </c>
      <c r="H693" s="141">
        <v>7</v>
      </c>
      <c r="I693" s="142" t="s">
        <v>189</v>
      </c>
      <c r="J693" s="141">
        <v>9.0401100000000003</v>
      </c>
      <c r="K693" s="141">
        <v>303.94564999999994</v>
      </c>
      <c r="L693" s="141">
        <v>318.21396000000004</v>
      </c>
    </row>
    <row r="694" spans="1:12" ht="31.5">
      <c r="A694" s="136" t="s">
        <v>2927</v>
      </c>
      <c r="B694" s="137" t="s">
        <v>2930</v>
      </c>
      <c r="C694" s="138" t="s">
        <v>952</v>
      </c>
      <c r="D694" s="138" t="s">
        <v>811</v>
      </c>
      <c r="E694" s="136" t="s">
        <v>1571</v>
      </c>
      <c r="F694" s="419">
        <v>43100</v>
      </c>
      <c r="G694" s="140">
        <v>641.15925000000004</v>
      </c>
      <c r="H694" s="140">
        <v>10</v>
      </c>
      <c r="I694" s="143" t="s">
        <v>189</v>
      </c>
      <c r="J694" s="140">
        <v>39.991019999999999</v>
      </c>
      <c r="K694" s="140">
        <v>415.22529000000003</v>
      </c>
      <c r="L694" s="140">
        <v>472.32815999999997</v>
      </c>
    </row>
    <row r="695" spans="1:12">
      <c r="A695" s="138" t="s">
        <v>2929</v>
      </c>
      <c r="B695" s="135" t="s">
        <v>2932</v>
      </c>
      <c r="C695" s="136" t="s">
        <v>784</v>
      </c>
      <c r="D695" s="136" t="s">
        <v>785</v>
      </c>
      <c r="E695" s="138" t="s">
        <v>1571</v>
      </c>
      <c r="F695" s="420">
        <v>43100</v>
      </c>
      <c r="G695" s="141">
        <v>637.65862000000004</v>
      </c>
      <c r="H695" s="141">
        <v>3</v>
      </c>
      <c r="I695" s="142" t="s">
        <v>189</v>
      </c>
      <c r="J695" s="141">
        <v>-33.982870000000005</v>
      </c>
      <c r="K695" s="141">
        <v>169.99966000000001</v>
      </c>
      <c r="L695" s="141">
        <v>166.99278000000001</v>
      </c>
    </row>
    <row r="696" spans="1:12" ht="31.5">
      <c r="A696" s="136" t="s">
        <v>2931</v>
      </c>
      <c r="B696" s="137" t="s">
        <v>2934</v>
      </c>
      <c r="C696" s="138" t="s">
        <v>1233</v>
      </c>
      <c r="D696" s="138" t="s">
        <v>1235</v>
      </c>
      <c r="E696" s="136" t="s">
        <v>1571</v>
      </c>
      <c r="F696" s="419">
        <v>43100</v>
      </c>
      <c r="G696" s="140">
        <v>631.71305000000007</v>
      </c>
      <c r="H696" s="140">
        <v>3</v>
      </c>
      <c r="I696" s="140">
        <v>2.4973000000000001</v>
      </c>
      <c r="J696" s="140">
        <v>10.50949</v>
      </c>
      <c r="K696" s="140">
        <v>147.36794999999998</v>
      </c>
      <c r="L696" s="140">
        <v>174.58948999999998</v>
      </c>
    </row>
    <row r="697" spans="1:12" ht="21">
      <c r="A697" s="138" t="s">
        <v>2933</v>
      </c>
      <c r="B697" s="135" t="s">
        <v>2936</v>
      </c>
      <c r="C697" s="136" t="s">
        <v>828</v>
      </c>
      <c r="D697" s="136" t="s">
        <v>811</v>
      </c>
      <c r="E697" s="138" t="s">
        <v>1571</v>
      </c>
      <c r="F697" s="420">
        <v>42735</v>
      </c>
      <c r="G697" s="141">
        <v>631.34526999999991</v>
      </c>
      <c r="H697" s="141">
        <v>7</v>
      </c>
      <c r="I697" s="142" t="s">
        <v>189</v>
      </c>
      <c r="J697" s="141">
        <v>-214.12014000000002</v>
      </c>
      <c r="K697" s="141">
        <v>178.05861000000002</v>
      </c>
      <c r="L697" s="141">
        <v>-20.96555</v>
      </c>
    </row>
    <row r="698" spans="1:12" ht="73.5">
      <c r="A698" s="136" t="s">
        <v>2935</v>
      </c>
      <c r="B698" s="137" t="s">
        <v>2938</v>
      </c>
      <c r="C698" s="138" t="s">
        <v>1395</v>
      </c>
      <c r="D698" s="138" t="s">
        <v>1393</v>
      </c>
      <c r="E698" s="136" t="s">
        <v>1571</v>
      </c>
      <c r="F698" s="419">
        <v>43100</v>
      </c>
      <c r="G698" s="140">
        <v>630.0445400000001</v>
      </c>
      <c r="H698" s="143" t="s">
        <v>189</v>
      </c>
      <c r="I698" s="143" t="s">
        <v>189</v>
      </c>
      <c r="J698" s="140">
        <v>-36.792529999999999</v>
      </c>
      <c r="K698" s="140">
        <v>111.83915000000002</v>
      </c>
      <c r="L698" s="140">
        <v>91.442520000000002</v>
      </c>
    </row>
    <row r="699" spans="1:12" ht="31.5">
      <c r="A699" s="138" t="s">
        <v>2937</v>
      </c>
      <c r="B699" s="135" t="s">
        <v>2940</v>
      </c>
      <c r="C699" s="136" t="s">
        <v>1317</v>
      </c>
      <c r="D699" s="136" t="s">
        <v>1316</v>
      </c>
      <c r="E699" s="138" t="s">
        <v>1571</v>
      </c>
      <c r="F699" s="420">
        <v>43100</v>
      </c>
      <c r="G699" s="141">
        <v>623.70589000000007</v>
      </c>
      <c r="H699" s="141">
        <v>6</v>
      </c>
      <c r="I699" s="142" t="s">
        <v>189</v>
      </c>
      <c r="J699" s="141">
        <v>-47.827970000000001</v>
      </c>
      <c r="K699" s="141">
        <v>206.06631999999999</v>
      </c>
      <c r="L699" s="141">
        <v>173.71566000000001</v>
      </c>
    </row>
    <row r="700" spans="1:12">
      <c r="A700" s="136" t="s">
        <v>2939</v>
      </c>
      <c r="B700" s="137" t="s">
        <v>2942</v>
      </c>
      <c r="C700" s="138" t="s">
        <v>1189</v>
      </c>
      <c r="D700" s="138" t="s">
        <v>1190</v>
      </c>
      <c r="E700" s="136" t="s">
        <v>1571</v>
      </c>
      <c r="F700" s="419">
        <v>43100</v>
      </c>
      <c r="G700" s="140">
        <v>616.99599000000001</v>
      </c>
      <c r="H700" s="143" t="s">
        <v>189</v>
      </c>
      <c r="I700" s="140">
        <v>0.11866999999999998</v>
      </c>
      <c r="J700" s="140">
        <v>0.37580000000000002</v>
      </c>
      <c r="K700" s="140">
        <v>263.76850000000002</v>
      </c>
      <c r="L700" s="140">
        <v>353.33805000000001</v>
      </c>
    </row>
    <row r="701" spans="1:12" ht="21">
      <c r="A701" s="138" t="s">
        <v>2941</v>
      </c>
      <c r="B701" s="135" t="s">
        <v>2944</v>
      </c>
      <c r="C701" s="136" t="s">
        <v>1558</v>
      </c>
      <c r="D701" s="136" t="s">
        <v>1279</v>
      </c>
      <c r="E701" s="138" t="s">
        <v>1571</v>
      </c>
      <c r="F701" s="420">
        <v>43100</v>
      </c>
      <c r="G701" s="141">
        <v>615.78797999999995</v>
      </c>
      <c r="H701" s="141">
        <v>7</v>
      </c>
      <c r="I701" s="142" t="s">
        <v>189</v>
      </c>
      <c r="J701" s="141">
        <v>7.6808399999999999</v>
      </c>
      <c r="K701" s="141">
        <v>348.59403000000003</v>
      </c>
      <c r="L701" s="141">
        <v>357.77131000000003</v>
      </c>
    </row>
    <row r="702" spans="1:12" ht="42">
      <c r="A702" s="136" t="s">
        <v>2943</v>
      </c>
      <c r="B702" s="137" t="s">
        <v>2946</v>
      </c>
      <c r="C702" s="138" t="s">
        <v>1272</v>
      </c>
      <c r="D702" s="138" t="s">
        <v>1266</v>
      </c>
      <c r="E702" s="136" t="s">
        <v>1571</v>
      </c>
      <c r="F702" s="419">
        <v>43100</v>
      </c>
      <c r="G702" s="140">
        <v>614.33819999999992</v>
      </c>
      <c r="H702" s="140">
        <v>1</v>
      </c>
      <c r="I702" s="140">
        <v>5.2230200000000009</v>
      </c>
      <c r="J702" s="140">
        <v>14.572979999999999</v>
      </c>
      <c r="K702" s="140">
        <v>75.799890000000005</v>
      </c>
      <c r="L702" s="140">
        <v>102.98228</v>
      </c>
    </row>
    <row r="703" spans="1:12">
      <c r="A703" s="138" t="s">
        <v>2945</v>
      </c>
      <c r="B703" s="135" t="s">
        <v>2948</v>
      </c>
      <c r="C703" s="136" t="s">
        <v>706</v>
      </c>
      <c r="D703" s="136" t="s">
        <v>705</v>
      </c>
      <c r="E703" s="138" t="s">
        <v>1571</v>
      </c>
      <c r="F703" s="420">
        <v>43100</v>
      </c>
      <c r="G703" s="141">
        <v>612.44024000000002</v>
      </c>
      <c r="H703" s="141">
        <v>1</v>
      </c>
      <c r="I703" s="141">
        <v>11.33832</v>
      </c>
      <c r="J703" s="141">
        <v>47.715410000000006</v>
      </c>
      <c r="K703" s="141">
        <v>158.29160000000002</v>
      </c>
      <c r="L703" s="141">
        <v>225.62795</v>
      </c>
    </row>
    <row r="704" spans="1:12" ht="21">
      <c r="A704" s="136" t="s">
        <v>2947</v>
      </c>
      <c r="B704" s="137" t="s">
        <v>2950</v>
      </c>
      <c r="C704" s="138" t="s">
        <v>1153</v>
      </c>
      <c r="D704" s="138" t="s">
        <v>1145</v>
      </c>
      <c r="E704" s="136" t="s">
        <v>1571</v>
      </c>
      <c r="F704" s="419">
        <v>43100</v>
      </c>
      <c r="G704" s="140">
        <v>612.13416900000004</v>
      </c>
      <c r="H704" s="140">
        <v>15</v>
      </c>
      <c r="I704" s="143" t="s">
        <v>189</v>
      </c>
      <c r="J704" s="140">
        <v>-389.53120000000001</v>
      </c>
      <c r="K704" s="140">
        <v>416.07087000000001</v>
      </c>
      <c r="L704" s="140">
        <v>175.981099</v>
      </c>
    </row>
    <row r="705" spans="1:12" ht="31.5">
      <c r="A705" s="138" t="s">
        <v>2949</v>
      </c>
      <c r="B705" s="135" t="s">
        <v>2952</v>
      </c>
      <c r="C705" s="136" t="s">
        <v>1523</v>
      </c>
      <c r="D705" s="136" t="s">
        <v>1501</v>
      </c>
      <c r="E705" s="138" t="s">
        <v>1571</v>
      </c>
      <c r="F705" s="420">
        <v>43100</v>
      </c>
      <c r="G705" s="141">
        <v>612.04512</v>
      </c>
      <c r="H705" s="141">
        <v>10</v>
      </c>
      <c r="I705" s="142" t="s">
        <v>189</v>
      </c>
      <c r="J705" s="141">
        <v>2.22627</v>
      </c>
      <c r="K705" s="141">
        <v>241.35333</v>
      </c>
      <c r="L705" s="141">
        <v>253.47702899999999</v>
      </c>
    </row>
    <row r="706" spans="1:12" ht="31.5">
      <c r="A706" s="136" t="s">
        <v>2951</v>
      </c>
      <c r="B706" s="137" t="s">
        <v>2954</v>
      </c>
      <c r="C706" s="138" t="s">
        <v>1491</v>
      </c>
      <c r="D706" s="138" t="s">
        <v>1474</v>
      </c>
      <c r="E706" s="136" t="s">
        <v>1571</v>
      </c>
      <c r="F706" s="419">
        <v>43100</v>
      </c>
      <c r="G706" s="140">
        <v>610.79962999999998</v>
      </c>
      <c r="H706" s="140">
        <v>1</v>
      </c>
      <c r="I706" s="140">
        <v>37.513460000000002</v>
      </c>
      <c r="J706" s="140">
        <v>118.79264000000001</v>
      </c>
      <c r="K706" s="140">
        <v>42.074759999999998</v>
      </c>
      <c r="L706" s="140">
        <v>202.12786</v>
      </c>
    </row>
    <row r="707" spans="1:12" ht="31.5">
      <c r="A707" s="138" t="s">
        <v>2953</v>
      </c>
      <c r="B707" s="135" t="s">
        <v>2956</v>
      </c>
      <c r="C707" s="136" t="s">
        <v>1431</v>
      </c>
      <c r="D707" s="136" t="s">
        <v>1797</v>
      </c>
      <c r="E707" s="138" t="s">
        <v>1571</v>
      </c>
      <c r="F707" s="420">
        <v>43100</v>
      </c>
      <c r="G707" s="141">
        <v>607.78911000000005</v>
      </c>
      <c r="H707" s="141">
        <v>2</v>
      </c>
      <c r="I707" s="141">
        <v>0.82838000000000001</v>
      </c>
      <c r="J707" s="141">
        <v>3.48611</v>
      </c>
      <c r="K707" s="141">
        <v>73.21632000000001</v>
      </c>
      <c r="L707" s="141">
        <v>94.008570000000006</v>
      </c>
    </row>
    <row r="708" spans="1:12" ht="21">
      <c r="A708" s="136" t="s">
        <v>2955</v>
      </c>
      <c r="B708" s="137" t="s">
        <v>2958</v>
      </c>
      <c r="C708" s="138" t="s">
        <v>1487</v>
      </c>
      <c r="D708" s="138" t="s">
        <v>1474</v>
      </c>
      <c r="E708" s="136" t="s">
        <v>1571</v>
      </c>
      <c r="F708" s="419">
        <v>43100</v>
      </c>
      <c r="G708" s="140">
        <v>605.59031000000004</v>
      </c>
      <c r="H708" s="140">
        <v>7</v>
      </c>
      <c r="I708" s="140">
        <v>1.1081099999999999</v>
      </c>
      <c r="J708" s="140">
        <v>9.3853599999999986</v>
      </c>
      <c r="K708" s="140">
        <v>206.34756000000002</v>
      </c>
      <c r="L708" s="140">
        <v>221.77732999999998</v>
      </c>
    </row>
    <row r="709" spans="1:12">
      <c r="A709" s="138" t="s">
        <v>2957</v>
      </c>
      <c r="B709" s="135" t="s">
        <v>2960</v>
      </c>
      <c r="C709" s="136" t="s">
        <v>825</v>
      </c>
      <c r="D709" s="136" t="s">
        <v>811</v>
      </c>
      <c r="E709" s="138" t="s">
        <v>1571</v>
      </c>
      <c r="F709" s="420">
        <v>43100</v>
      </c>
      <c r="G709" s="141">
        <v>602.15006000000005</v>
      </c>
      <c r="H709" s="141">
        <v>4</v>
      </c>
      <c r="I709" s="142" t="s">
        <v>189</v>
      </c>
      <c r="J709" s="141">
        <v>31.39293</v>
      </c>
      <c r="K709" s="141">
        <v>227.25774000000001</v>
      </c>
      <c r="L709" s="141">
        <v>270.43943000000007</v>
      </c>
    </row>
    <row r="710" spans="1:12">
      <c r="A710" s="136" t="s">
        <v>2959</v>
      </c>
      <c r="B710" s="137" t="s">
        <v>2962</v>
      </c>
      <c r="C710" s="138" t="s">
        <v>821</v>
      </c>
      <c r="D710" s="138" t="s">
        <v>705</v>
      </c>
      <c r="E710" s="136" t="s">
        <v>1571</v>
      </c>
      <c r="F710" s="419">
        <v>43100</v>
      </c>
      <c r="G710" s="140">
        <v>601.48658</v>
      </c>
      <c r="H710" s="140">
        <v>9</v>
      </c>
      <c r="I710" s="140">
        <v>2.3994</v>
      </c>
      <c r="J710" s="140">
        <v>10.097449999999998</v>
      </c>
      <c r="K710" s="140">
        <v>206.81531999999999</v>
      </c>
      <c r="L710" s="140">
        <v>284.32815999999997</v>
      </c>
    </row>
    <row r="711" spans="1:12">
      <c r="A711" s="138" t="s">
        <v>2961</v>
      </c>
      <c r="B711" s="135" t="s">
        <v>2964</v>
      </c>
      <c r="C711" s="136" t="s">
        <v>891</v>
      </c>
      <c r="D711" s="136" t="s">
        <v>811</v>
      </c>
      <c r="E711" s="138" t="s">
        <v>1571</v>
      </c>
      <c r="F711" s="420">
        <v>42735</v>
      </c>
      <c r="G711" s="141">
        <v>599.61704000000009</v>
      </c>
      <c r="H711" s="141">
        <v>4</v>
      </c>
      <c r="I711" s="141">
        <v>2.3318600000000003</v>
      </c>
      <c r="J711" s="141">
        <v>18.369740000000004</v>
      </c>
      <c r="K711" s="141">
        <v>174.94537</v>
      </c>
      <c r="L711" s="141">
        <v>218.00967000000003</v>
      </c>
    </row>
    <row r="712" spans="1:12" ht="31.5">
      <c r="A712" s="136" t="s">
        <v>2963</v>
      </c>
      <c r="B712" s="137" t="s">
        <v>2966</v>
      </c>
      <c r="C712" s="138" t="s">
        <v>1106</v>
      </c>
      <c r="D712" s="138" t="s">
        <v>969</v>
      </c>
      <c r="E712" s="136" t="s">
        <v>1571</v>
      </c>
      <c r="F712" s="419">
        <v>43100</v>
      </c>
      <c r="G712" s="140">
        <v>595.84885000000008</v>
      </c>
      <c r="H712" s="140">
        <v>3</v>
      </c>
      <c r="I712" s="140">
        <v>30.396260000000002</v>
      </c>
      <c r="J712" s="140">
        <v>96.254810000000006</v>
      </c>
      <c r="K712" s="140">
        <v>167.25281999999999</v>
      </c>
      <c r="L712" s="140">
        <v>299.95994999999999</v>
      </c>
    </row>
    <row r="713" spans="1:12" ht="42">
      <c r="A713" s="138" t="s">
        <v>2965</v>
      </c>
      <c r="B713" s="135" t="s">
        <v>2968</v>
      </c>
      <c r="C713" s="136" t="s">
        <v>1234</v>
      </c>
      <c r="D713" s="136" t="s">
        <v>1235</v>
      </c>
      <c r="E713" s="138" t="s">
        <v>1571</v>
      </c>
      <c r="F713" s="420">
        <v>43100</v>
      </c>
      <c r="G713" s="141">
        <v>595.0921699999999</v>
      </c>
      <c r="H713" s="141">
        <v>5</v>
      </c>
      <c r="I713" s="141">
        <v>5.8880200000000009</v>
      </c>
      <c r="J713" s="141">
        <v>20.143190000000001</v>
      </c>
      <c r="K713" s="141">
        <v>250.56843000000001</v>
      </c>
      <c r="L713" s="141">
        <v>285.51402000000002</v>
      </c>
    </row>
    <row r="714" spans="1:12" ht="21">
      <c r="A714" s="136" t="s">
        <v>2967</v>
      </c>
      <c r="B714" s="137" t="s">
        <v>2970</v>
      </c>
      <c r="C714" s="138" t="s">
        <v>997</v>
      </c>
      <c r="D714" s="138" t="s">
        <v>975</v>
      </c>
      <c r="E714" s="136" t="s">
        <v>1571</v>
      </c>
      <c r="F714" s="419">
        <v>43100</v>
      </c>
      <c r="G714" s="140">
        <v>594.26380000000006</v>
      </c>
      <c r="H714" s="140">
        <v>6</v>
      </c>
      <c r="I714" s="140">
        <v>5.6943299999999999</v>
      </c>
      <c r="J714" s="140">
        <v>37.445959999999999</v>
      </c>
      <c r="K714" s="140">
        <v>199.35564000000002</v>
      </c>
      <c r="L714" s="140">
        <v>256.05115999999998</v>
      </c>
    </row>
    <row r="715" spans="1:12" ht="21">
      <c r="A715" s="138" t="s">
        <v>2969</v>
      </c>
      <c r="B715" s="135" t="s">
        <v>2972</v>
      </c>
      <c r="C715" s="136" t="s">
        <v>1082</v>
      </c>
      <c r="D715" s="136" t="s">
        <v>969</v>
      </c>
      <c r="E715" s="138" t="s">
        <v>1571</v>
      </c>
      <c r="F715" s="420">
        <v>43100</v>
      </c>
      <c r="G715" s="141">
        <v>578.26870999999994</v>
      </c>
      <c r="H715" s="141">
        <v>5</v>
      </c>
      <c r="I715" s="142" t="s">
        <v>189</v>
      </c>
      <c r="J715" s="141">
        <v>9.4928100000000004</v>
      </c>
      <c r="K715" s="141">
        <v>193.86324999999999</v>
      </c>
      <c r="L715" s="141">
        <v>208.86374000000004</v>
      </c>
    </row>
    <row r="716" spans="1:12">
      <c r="A716" s="136" t="s">
        <v>2971</v>
      </c>
      <c r="B716" s="139" t="s">
        <v>2974</v>
      </c>
      <c r="C716" s="138" t="s">
        <v>948</v>
      </c>
      <c r="D716" s="138" t="s">
        <v>811</v>
      </c>
      <c r="E716" s="136" t="s">
        <v>1571</v>
      </c>
      <c r="F716" s="419">
        <v>43100</v>
      </c>
      <c r="G716" s="140">
        <v>577.60327999999993</v>
      </c>
      <c r="H716" s="140">
        <v>7</v>
      </c>
      <c r="I716" s="143" t="s">
        <v>189</v>
      </c>
      <c r="J716" s="140">
        <v>6.1228000000000007</v>
      </c>
      <c r="K716" s="140">
        <v>261.12392999999997</v>
      </c>
      <c r="L716" s="140">
        <v>310.99406900000002</v>
      </c>
    </row>
    <row r="717" spans="1:12" ht="21">
      <c r="A717" s="138" t="s">
        <v>2973</v>
      </c>
      <c r="B717" s="135" t="s">
        <v>2976</v>
      </c>
      <c r="C717" s="136" t="s">
        <v>1439</v>
      </c>
      <c r="D717" s="136" t="s">
        <v>1429</v>
      </c>
      <c r="E717" s="138" t="s">
        <v>1571</v>
      </c>
      <c r="F717" s="420">
        <v>42004</v>
      </c>
      <c r="G717" s="141">
        <v>574.69883000000004</v>
      </c>
      <c r="H717" s="141">
        <v>6</v>
      </c>
      <c r="I717" s="142" t="s">
        <v>189</v>
      </c>
      <c r="J717" s="141">
        <v>-15.468250000000001</v>
      </c>
      <c r="K717" s="141">
        <v>195.08485999999999</v>
      </c>
      <c r="L717" s="141">
        <v>187.81971900000002</v>
      </c>
    </row>
    <row r="718" spans="1:12" ht="21">
      <c r="A718" s="136" t="s">
        <v>2975</v>
      </c>
      <c r="B718" s="137" t="s">
        <v>2978</v>
      </c>
      <c r="C718" s="138" t="s">
        <v>1087</v>
      </c>
      <c r="D718" s="138" t="s">
        <v>969</v>
      </c>
      <c r="E718" s="136" t="s">
        <v>1571</v>
      </c>
      <c r="F718" s="419">
        <v>43100</v>
      </c>
      <c r="G718" s="140">
        <v>571.82694000000004</v>
      </c>
      <c r="H718" s="140">
        <v>6</v>
      </c>
      <c r="I718" s="140">
        <v>5.2065900000000003</v>
      </c>
      <c r="J718" s="140">
        <v>21.8111</v>
      </c>
      <c r="K718" s="140">
        <v>268.00524999999999</v>
      </c>
      <c r="L718" s="140">
        <v>303.50650000000002</v>
      </c>
    </row>
    <row r="719" spans="1:12" ht="42">
      <c r="A719" s="138" t="s">
        <v>2977</v>
      </c>
      <c r="B719" s="421" t="s">
        <v>2980</v>
      </c>
      <c r="C719" s="136" t="s">
        <v>880</v>
      </c>
      <c r="D719" s="136" t="s">
        <v>1474</v>
      </c>
      <c r="E719" s="138" t="s">
        <v>1571</v>
      </c>
      <c r="F719" s="420">
        <v>42735</v>
      </c>
      <c r="G719" s="141">
        <v>566.89420999999993</v>
      </c>
      <c r="H719" s="141">
        <v>5</v>
      </c>
      <c r="I719" s="142" t="s">
        <v>189</v>
      </c>
      <c r="J719" s="141">
        <v>2.92517</v>
      </c>
      <c r="K719" s="141">
        <v>70.700090000000003</v>
      </c>
      <c r="L719" s="141">
        <v>108.7415</v>
      </c>
    </row>
    <row r="720" spans="1:12">
      <c r="A720" s="136" t="s">
        <v>2979</v>
      </c>
      <c r="B720" s="137" t="s">
        <v>2982</v>
      </c>
      <c r="C720" s="138" t="s">
        <v>1041</v>
      </c>
      <c r="D720" s="138" t="s">
        <v>971</v>
      </c>
      <c r="E720" s="136" t="s">
        <v>1571</v>
      </c>
      <c r="F720" s="419">
        <v>42735</v>
      </c>
      <c r="G720" s="140">
        <v>564.29620999999997</v>
      </c>
      <c r="H720" s="140">
        <v>16</v>
      </c>
      <c r="I720" s="143" t="s">
        <v>189</v>
      </c>
      <c r="J720" s="140">
        <v>110.73496</v>
      </c>
      <c r="K720" s="140">
        <v>407.96953999999999</v>
      </c>
      <c r="L720" s="140">
        <v>525.78433900000005</v>
      </c>
    </row>
    <row r="721" spans="1:12" ht="21">
      <c r="A721" s="138" t="s">
        <v>2981</v>
      </c>
      <c r="B721" s="135" t="s">
        <v>2984</v>
      </c>
      <c r="C721" s="136" t="s">
        <v>760</v>
      </c>
      <c r="D721" s="136" t="s">
        <v>753</v>
      </c>
      <c r="E721" s="138" t="s">
        <v>1571</v>
      </c>
      <c r="F721" s="420">
        <v>43100</v>
      </c>
      <c r="G721" s="141">
        <v>561.72778899999992</v>
      </c>
      <c r="H721" s="141">
        <v>6</v>
      </c>
      <c r="I721" s="141"/>
      <c r="J721" s="141">
        <v>-41.507249999999999</v>
      </c>
      <c r="K721" s="141">
        <v>222.85821000000001</v>
      </c>
      <c r="L721" s="141">
        <v>202.38573000000002</v>
      </c>
    </row>
    <row r="722" spans="1:12" ht="21">
      <c r="A722" s="136" t="s">
        <v>2983</v>
      </c>
      <c r="B722" s="137" t="s">
        <v>2986</v>
      </c>
      <c r="C722" s="138" t="s">
        <v>852</v>
      </c>
      <c r="D722" s="138" t="s">
        <v>811</v>
      </c>
      <c r="E722" s="136" t="s">
        <v>1571</v>
      </c>
      <c r="F722" s="419">
        <v>43100</v>
      </c>
      <c r="G722" s="140">
        <v>556.89499999999998</v>
      </c>
      <c r="H722" s="140">
        <v>1</v>
      </c>
      <c r="I722" s="140">
        <v>1.2368299999999999</v>
      </c>
      <c r="J722" s="140">
        <v>2.4901200000000001</v>
      </c>
      <c r="K722" s="140">
        <v>36.938699999999997</v>
      </c>
      <c r="L722" s="140">
        <v>44.93732</v>
      </c>
    </row>
    <row r="723" spans="1:12" ht="31.5">
      <c r="A723" s="138" t="s">
        <v>2985</v>
      </c>
      <c r="B723" s="135" t="s">
        <v>2988</v>
      </c>
      <c r="C723" s="136" t="s">
        <v>1114</v>
      </c>
      <c r="D723" s="136" t="s">
        <v>1112</v>
      </c>
      <c r="E723" s="138" t="s">
        <v>1571</v>
      </c>
      <c r="F723" s="420">
        <v>43100</v>
      </c>
      <c r="G723" s="141">
        <v>555.62005000000011</v>
      </c>
      <c r="H723" s="141">
        <v>6</v>
      </c>
      <c r="I723" s="141">
        <v>-0.33489999999999998</v>
      </c>
      <c r="J723" s="141">
        <v>-1.0605199999999999</v>
      </c>
      <c r="K723" s="141">
        <v>158.01029</v>
      </c>
      <c r="L723" s="141">
        <v>164.98149000000001</v>
      </c>
    </row>
    <row r="724" spans="1:12">
      <c r="A724" s="136" t="s">
        <v>2987</v>
      </c>
      <c r="B724" s="137" t="s">
        <v>2990</v>
      </c>
      <c r="C724" s="138" t="s">
        <v>878</v>
      </c>
      <c r="D724" s="138" t="s">
        <v>811</v>
      </c>
      <c r="E724" s="136" t="s">
        <v>1571</v>
      </c>
      <c r="F724" s="419">
        <v>42735</v>
      </c>
      <c r="G724" s="140">
        <v>551.20545000000004</v>
      </c>
      <c r="H724" s="140">
        <v>4</v>
      </c>
      <c r="I724" s="140">
        <v>1.48875</v>
      </c>
      <c r="J724" s="140">
        <v>4.3483000000000001</v>
      </c>
      <c r="K724" s="140">
        <v>134.65844000000001</v>
      </c>
      <c r="L724" s="140">
        <v>160.51385999999999</v>
      </c>
    </row>
    <row r="725" spans="1:12" ht="21">
      <c r="A725" s="138" t="s">
        <v>2989</v>
      </c>
      <c r="B725" s="135" t="s">
        <v>2992</v>
      </c>
      <c r="C725" s="136" t="s">
        <v>1526</v>
      </c>
      <c r="D725" s="136" t="s">
        <v>1501</v>
      </c>
      <c r="E725" s="138" t="s">
        <v>1571</v>
      </c>
      <c r="F725" s="420">
        <v>42735</v>
      </c>
      <c r="G725" s="141">
        <v>546.85736000000009</v>
      </c>
      <c r="H725" s="141">
        <v>1</v>
      </c>
      <c r="I725" s="141">
        <v>98.226039999999998</v>
      </c>
      <c r="J725" s="141">
        <v>307.60540000000003</v>
      </c>
      <c r="K725" s="141">
        <v>20.533580000000001</v>
      </c>
      <c r="L725" s="141">
        <v>465.85841000000005</v>
      </c>
    </row>
    <row r="726" spans="1:12" ht="42">
      <c r="A726" s="136" t="s">
        <v>2991</v>
      </c>
      <c r="B726" s="137" t="s">
        <v>2994</v>
      </c>
      <c r="C726" s="138" t="s">
        <v>1244</v>
      </c>
      <c r="D726" s="138" t="s">
        <v>1235</v>
      </c>
      <c r="E726" s="136" t="s">
        <v>1571</v>
      </c>
      <c r="F726" s="419">
        <v>43100</v>
      </c>
      <c r="G726" s="140">
        <v>541.99207999999999</v>
      </c>
      <c r="H726" s="140">
        <v>2</v>
      </c>
      <c r="I726" s="140">
        <v>0.13388000000000003</v>
      </c>
      <c r="J726" s="140">
        <v>0.56342999999999999</v>
      </c>
      <c r="K726" s="140">
        <v>77.690979999999996</v>
      </c>
      <c r="L726" s="140">
        <v>85.512639000000007</v>
      </c>
    </row>
    <row r="727" spans="1:12">
      <c r="A727" s="138" t="s">
        <v>2993</v>
      </c>
      <c r="B727" s="135" t="s">
        <v>2996</v>
      </c>
      <c r="C727" s="136" t="s">
        <v>908</v>
      </c>
      <c r="D727" s="136" t="s">
        <v>811</v>
      </c>
      <c r="E727" s="138" t="s">
        <v>1571</v>
      </c>
      <c r="F727" s="420">
        <v>42735</v>
      </c>
      <c r="G727" s="141">
        <v>537.141929</v>
      </c>
      <c r="H727" s="141">
        <v>15</v>
      </c>
      <c r="I727" s="141"/>
      <c r="J727" s="141">
        <v>-97.295820000000006</v>
      </c>
      <c r="K727" s="141">
        <v>387.04014999999998</v>
      </c>
      <c r="L727" s="141">
        <v>267.07923999999997</v>
      </c>
    </row>
    <row r="728" spans="1:12">
      <c r="A728" s="136" t="s">
        <v>2995</v>
      </c>
      <c r="B728" s="137" t="s">
        <v>2998</v>
      </c>
      <c r="C728" s="138" t="s">
        <v>1455</v>
      </c>
      <c r="D728" s="138" t="s">
        <v>1456</v>
      </c>
      <c r="E728" s="136" t="s">
        <v>1571</v>
      </c>
      <c r="F728" s="419">
        <v>43100</v>
      </c>
      <c r="G728" s="140">
        <v>534.94689900000003</v>
      </c>
      <c r="H728" s="140">
        <v>18</v>
      </c>
      <c r="I728" s="143" t="s">
        <v>189</v>
      </c>
      <c r="J728" s="140">
        <v>15.35384</v>
      </c>
      <c r="K728" s="140">
        <v>96.836529999999996</v>
      </c>
      <c r="L728" s="140">
        <v>115.62922999999999</v>
      </c>
    </row>
    <row r="729" spans="1:12">
      <c r="A729" s="138" t="s">
        <v>2997</v>
      </c>
      <c r="B729" s="135" t="s">
        <v>3000</v>
      </c>
      <c r="C729" s="136" t="s">
        <v>956</v>
      </c>
      <c r="D729" s="136" t="s">
        <v>811</v>
      </c>
      <c r="E729" s="138" t="s">
        <v>1571</v>
      </c>
      <c r="F729" s="420">
        <v>43100</v>
      </c>
      <c r="G729" s="141">
        <v>533.52467999999999</v>
      </c>
      <c r="H729" s="141">
        <v>2</v>
      </c>
      <c r="I729" s="141">
        <v>6.2646400000000009</v>
      </c>
      <c r="J729" s="141">
        <v>26.363680000000002</v>
      </c>
      <c r="K729" s="141">
        <v>70.024799999999999</v>
      </c>
      <c r="L729" s="141">
        <v>105.606549</v>
      </c>
    </row>
    <row r="730" spans="1:12" ht="21">
      <c r="A730" s="136" t="s">
        <v>2999</v>
      </c>
      <c r="B730" s="137" t="s">
        <v>3002</v>
      </c>
      <c r="C730" s="138" t="s">
        <v>701</v>
      </c>
      <c r="D730" s="138" t="s">
        <v>1622</v>
      </c>
      <c r="E730" s="136" t="s">
        <v>1571</v>
      </c>
      <c r="F730" s="419">
        <v>42735</v>
      </c>
      <c r="G730" s="140">
        <v>531.70377999999994</v>
      </c>
      <c r="H730" s="140">
        <v>7</v>
      </c>
      <c r="I730" s="140">
        <v>11.786720000000001</v>
      </c>
      <c r="J730" s="140">
        <v>37.324629999999999</v>
      </c>
      <c r="K730" s="140">
        <v>150.77707000000001</v>
      </c>
      <c r="L730" s="140">
        <v>225.54724000000002</v>
      </c>
    </row>
    <row r="731" spans="1:12" ht="21">
      <c r="A731" s="138" t="s">
        <v>3001</v>
      </c>
      <c r="B731" s="135" t="s">
        <v>3004</v>
      </c>
      <c r="C731" s="136" t="s">
        <v>1185</v>
      </c>
      <c r="D731" s="136" t="s">
        <v>1184</v>
      </c>
      <c r="E731" s="138" t="s">
        <v>1571</v>
      </c>
      <c r="F731" s="420">
        <v>43100</v>
      </c>
      <c r="G731" s="141">
        <v>531.27777999999989</v>
      </c>
      <c r="H731" s="141">
        <v>8</v>
      </c>
      <c r="I731" s="141">
        <v>7.0118999999999998</v>
      </c>
      <c r="J731" s="141">
        <v>2.4550700000000001</v>
      </c>
      <c r="K731" s="141">
        <v>275.78145000000001</v>
      </c>
      <c r="L731" s="141">
        <v>309.05809999999997</v>
      </c>
    </row>
    <row r="732" spans="1:12" ht="42">
      <c r="A732" s="136" t="s">
        <v>3003</v>
      </c>
      <c r="B732" s="137" t="s">
        <v>3006</v>
      </c>
      <c r="C732" s="138" t="s">
        <v>1321</v>
      </c>
      <c r="D732" s="138" t="s">
        <v>1320</v>
      </c>
      <c r="E732" s="136" t="s">
        <v>1571</v>
      </c>
      <c r="F732" s="419">
        <v>43100</v>
      </c>
      <c r="G732" s="140">
        <v>530.879819</v>
      </c>
      <c r="H732" s="140">
        <v>3</v>
      </c>
      <c r="I732" s="143" t="s">
        <v>189</v>
      </c>
      <c r="J732" s="140">
        <v>84.848739999999992</v>
      </c>
      <c r="K732" s="140">
        <v>175.95131999999998</v>
      </c>
      <c r="L732" s="140">
        <v>292.25222000000002</v>
      </c>
    </row>
    <row r="733" spans="1:12" ht="21">
      <c r="A733" s="138" t="s">
        <v>3005</v>
      </c>
      <c r="B733" s="135" t="s">
        <v>3008</v>
      </c>
      <c r="C733" s="136" t="s">
        <v>1113</v>
      </c>
      <c r="D733" s="136" t="s">
        <v>1112</v>
      </c>
      <c r="E733" s="138" t="s">
        <v>1571</v>
      </c>
      <c r="F733" s="420">
        <v>43100</v>
      </c>
      <c r="G733" s="141">
        <v>526.54335000000015</v>
      </c>
      <c r="H733" s="141">
        <v>6</v>
      </c>
      <c r="I733" s="141">
        <v>15.433820000000001</v>
      </c>
      <c r="J733" s="141">
        <v>64.605819999999994</v>
      </c>
      <c r="K733" s="141">
        <v>159.73117999999999</v>
      </c>
      <c r="L733" s="141">
        <v>268.85608000000002</v>
      </c>
    </row>
    <row r="734" spans="1:12" ht="31.5">
      <c r="A734" s="136" t="s">
        <v>3007</v>
      </c>
      <c r="B734" s="139" t="s">
        <v>3010</v>
      </c>
      <c r="C734" s="138" t="s">
        <v>625</v>
      </c>
      <c r="D734" s="138" t="s">
        <v>596</v>
      </c>
      <c r="E734" s="136" t="s">
        <v>1571</v>
      </c>
      <c r="F734" s="419">
        <v>43100</v>
      </c>
      <c r="G734" s="140">
        <v>523.27177000000006</v>
      </c>
      <c r="H734" s="140">
        <v>9</v>
      </c>
      <c r="I734" s="143" t="s">
        <v>189</v>
      </c>
      <c r="J734" s="140">
        <v>-13.639060000000001</v>
      </c>
      <c r="K734" s="140">
        <v>260.31254000000001</v>
      </c>
      <c r="L734" s="140">
        <v>303.67653999999999</v>
      </c>
    </row>
    <row r="735" spans="1:12" ht="52.5">
      <c r="A735" s="138" t="s">
        <v>3009</v>
      </c>
      <c r="B735" s="135" t="s">
        <v>3012</v>
      </c>
      <c r="C735" s="136" t="s">
        <v>1245</v>
      </c>
      <c r="D735" s="136" t="s">
        <v>1235</v>
      </c>
      <c r="E735" s="138" t="s">
        <v>1571</v>
      </c>
      <c r="F735" s="420">
        <v>43100</v>
      </c>
      <c r="G735" s="141">
        <v>521.42913999999996</v>
      </c>
      <c r="H735" s="141">
        <v>14</v>
      </c>
      <c r="I735" s="142" t="s">
        <v>189</v>
      </c>
      <c r="J735" s="141">
        <v>-237.38777999999999</v>
      </c>
      <c r="K735" s="141">
        <v>237.97215</v>
      </c>
      <c r="L735" s="141">
        <v>40.487098999999994</v>
      </c>
    </row>
    <row r="736" spans="1:12">
      <c r="A736" s="136" t="s">
        <v>3011</v>
      </c>
      <c r="B736" s="137" t="s">
        <v>3014</v>
      </c>
      <c r="C736" s="138" t="s">
        <v>1034</v>
      </c>
      <c r="D736" s="138" t="s">
        <v>1027</v>
      </c>
      <c r="E736" s="136" t="s">
        <v>1571</v>
      </c>
      <c r="F736" s="419">
        <v>43100</v>
      </c>
      <c r="G736" s="140">
        <v>519.62202000000002</v>
      </c>
      <c r="H736" s="140">
        <v>10</v>
      </c>
      <c r="I736" s="143" t="s">
        <v>189</v>
      </c>
      <c r="J736" s="140">
        <v>-1.4557500000000001</v>
      </c>
      <c r="K736" s="140">
        <v>224.85516000000001</v>
      </c>
      <c r="L736" s="140">
        <v>248.59684000000001</v>
      </c>
    </row>
    <row r="737" spans="1:12" ht="42">
      <c r="A737" s="138" t="s">
        <v>3013</v>
      </c>
      <c r="B737" s="135" t="s">
        <v>3016</v>
      </c>
      <c r="C737" s="136" t="s">
        <v>941</v>
      </c>
      <c r="D737" s="136" t="s">
        <v>811</v>
      </c>
      <c r="E737" s="138" t="s">
        <v>1571</v>
      </c>
      <c r="F737" s="420">
        <v>43100</v>
      </c>
      <c r="G737" s="141">
        <v>519.39412000000004</v>
      </c>
      <c r="H737" s="142" t="s">
        <v>189</v>
      </c>
      <c r="I737" s="142" t="s">
        <v>189</v>
      </c>
      <c r="J737" s="141">
        <v>2.4868200000000003</v>
      </c>
      <c r="K737" s="141">
        <v>143.44451000000001</v>
      </c>
      <c r="L737" s="141">
        <v>161.75325000000001</v>
      </c>
    </row>
    <row r="738" spans="1:12" ht="31.5">
      <c r="A738" s="136" t="s">
        <v>3015</v>
      </c>
      <c r="B738" s="137" t="s">
        <v>3018</v>
      </c>
      <c r="C738" s="138" t="s">
        <v>678</v>
      </c>
      <c r="D738" s="138" t="s">
        <v>673</v>
      </c>
      <c r="E738" s="136" t="s">
        <v>1571</v>
      </c>
      <c r="F738" s="419">
        <v>43100</v>
      </c>
      <c r="G738" s="140">
        <v>518.43676000000005</v>
      </c>
      <c r="H738" s="140">
        <v>1</v>
      </c>
      <c r="I738" s="140">
        <v>10.43754</v>
      </c>
      <c r="J738" s="140">
        <v>43.924640000000004</v>
      </c>
      <c r="K738" s="140">
        <v>59.377780000000001</v>
      </c>
      <c r="L738" s="140">
        <v>119.45912000000001</v>
      </c>
    </row>
    <row r="739" spans="1:12">
      <c r="A739" s="138" t="s">
        <v>3017</v>
      </c>
      <c r="B739" s="135" t="s">
        <v>3020</v>
      </c>
      <c r="C739" s="136" t="s">
        <v>1428</v>
      </c>
      <c r="D739" s="136" t="s">
        <v>1429</v>
      </c>
      <c r="E739" s="138" t="s">
        <v>1571</v>
      </c>
      <c r="F739" s="420">
        <v>43100</v>
      </c>
      <c r="G739" s="141">
        <v>518.03263000000004</v>
      </c>
      <c r="H739" s="141">
        <v>1</v>
      </c>
      <c r="I739" s="141">
        <v>6.0507299999999997</v>
      </c>
      <c r="J739" s="141">
        <v>19.160649999999997</v>
      </c>
      <c r="K739" s="141">
        <v>30.409080000000003</v>
      </c>
      <c r="L739" s="141">
        <v>56.962940000000003</v>
      </c>
    </row>
    <row r="740" spans="1:12">
      <c r="A740" s="136" t="s">
        <v>3019</v>
      </c>
      <c r="B740" s="137" t="s">
        <v>3022</v>
      </c>
      <c r="C740" s="138" t="s">
        <v>876</v>
      </c>
      <c r="D740" s="138" t="s">
        <v>811</v>
      </c>
      <c r="E740" s="136" t="s">
        <v>1571</v>
      </c>
      <c r="F740" s="419">
        <v>43100</v>
      </c>
      <c r="G740" s="140">
        <v>512.82271000000003</v>
      </c>
      <c r="H740" s="140">
        <v>6</v>
      </c>
      <c r="I740" s="140">
        <v>6.5341500000000003</v>
      </c>
      <c r="J740" s="140">
        <v>55.29224</v>
      </c>
      <c r="K740" s="140">
        <v>203.32070000000002</v>
      </c>
      <c r="L740" s="140">
        <v>318.57456000000002</v>
      </c>
    </row>
    <row r="741" spans="1:12">
      <c r="A741" s="138" t="s">
        <v>3021</v>
      </c>
      <c r="B741" s="135" t="s">
        <v>3024</v>
      </c>
      <c r="C741" s="136" t="s">
        <v>756</v>
      </c>
      <c r="D741" s="136" t="s">
        <v>789</v>
      </c>
      <c r="E741" s="138" t="s">
        <v>1571</v>
      </c>
      <c r="F741" s="420">
        <v>43100</v>
      </c>
      <c r="G741" s="141">
        <v>512.44867999999997</v>
      </c>
      <c r="H741" s="141">
        <v>3</v>
      </c>
      <c r="I741" s="141"/>
      <c r="J741" s="141">
        <v>-55.593249999999998</v>
      </c>
      <c r="K741" s="141">
        <v>97.130820000000014</v>
      </c>
      <c r="L741" s="141">
        <v>24.443860000000001</v>
      </c>
    </row>
    <row r="742" spans="1:12" ht="31.5">
      <c r="A742" s="136" t="s">
        <v>3023</v>
      </c>
      <c r="B742" s="137" t="s">
        <v>3026</v>
      </c>
      <c r="C742" s="138" t="s">
        <v>1036</v>
      </c>
      <c r="D742" s="138" t="s">
        <v>971</v>
      </c>
      <c r="E742" s="136" t="s">
        <v>1571</v>
      </c>
      <c r="F742" s="419">
        <v>43100</v>
      </c>
      <c r="G742" s="140">
        <v>511.61369999999999</v>
      </c>
      <c r="H742" s="140">
        <v>5</v>
      </c>
      <c r="I742" s="140">
        <v>14.799949999999999</v>
      </c>
      <c r="J742" s="140">
        <v>70.594589999999997</v>
      </c>
      <c r="K742" s="140">
        <v>180.58294999999998</v>
      </c>
      <c r="L742" s="140">
        <v>308.03429999999997</v>
      </c>
    </row>
    <row r="743" spans="1:12" ht="42">
      <c r="A743" s="138" t="s">
        <v>3025</v>
      </c>
      <c r="B743" s="135" t="s">
        <v>3028</v>
      </c>
      <c r="C743" s="136" t="s">
        <v>1327</v>
      </c>
      <c r="D743" s="136" t="s">
        <v>1320</v>
      </c>
      <c r="E743" s="138" t="s">
        <v>1571</v>
      </c>
      <c r="F743" s="420">
        <v>43100</v>
      </c>
      <c r="G743" s="141">
        <v>511.22563999999994</v>
      </c>
      <c r="H743" s="141">
        <v>4</v>
      </c>
      <c r="I743" s="141">
        <v>0.39865000000000006</v>
      </c>
      <c r="J743" s="141">
        <v>37.054830000000003</v>
      </c>
      <c r="K743" s="141">
        <v>132.05064999999999</v>
      </c>
      <c r="L743" s="141">
        <v>173.98775000000001</v>
      </c>
    </row>
    <row r="744" spans="1:12" ht="52.5">
      <c r="A744" s="136" t="s">
        <v>3027</v>
      </c>
      <c r="B744" s="137" t="s">
        <v>3030</v>
      </c>
      <c r="C744" s="138" t="s">
        <v>1299</v>
      </c>
      <c r="D744" s="138" t="s">
        <v>1266</v>
      </c>
      <c r="E744" s="136" t="s">
        <v>1571</v>
      </c>
      <c r="F744" s="419">
        <v>43100</v>
      </c>
      <c r="G744" s="140">
        <v>508.33857</v>
      </c>
      <c r="H744" s="140">
        <v>7</v>
      </c>
      <c r="I744" s="143" t="s">
        <v>189</v>
      </c>
      <c r="J744" s="140">
        <v>37.03342</v>
      </c>
      <c r="K744" s="140">
        <v>141.45167000000001</v>
      </c>
      <c r="L744" s="140">
        <v>180.86285999999998</v>
      </c>
    </row>
    <row r="745" spans="1:12" ht="31.5">
      <c r="A745" s="138" t="s">
        <v>3029</v>
      </c>
      <c r="B745" s="135" t="s">
        <v>3032</v>
      </c>
      <c r="C745" s="136" t="s">
        <v>983</v>
      </c>
      <c r="D745" s="136" t="s">
        <v>975</v>
      </c>
      <c r="E745" s="138" t="s">
        <v>1571</v>
      </c>
      <c r="F745" s="420">
        <v>43100</v>
      </c>
      <c r="G745" s="141">
        <v>504.47379999999998</v>
      </c>
      <c r="H745" s="141">
        <v>3</v>
      </c>
      <c r="I745" s="141">
        <v>12.100940000000001</v>
      </c>
      <c r="J745" s="141">
        <v>85.275809999999993</v>
      </c>
      <c r="K745" s="141">
        <v>91.637380000000007</v>
      </c>
      <c r="L745" s="141">
        <v>198.81753</v>
      </c>
    </row>
    <row r="746" spans="1:12" ht="52.5">
      <c r="A746" s="136" t="s">
        <v>3031</v>
      </c>
      <c r="B746" s="137" t="s">
        <v>3034</v>
      </c>
      <c r="C746" s="138" t="s">
        <v>979</v>
      </c>
      <c r="D746" s="138" t="s">
        <v>975</v>
      </c>
      <c r="E746" s="136" t="s">
        <v>1571</v>
      </c>
      <c r="F746" s="419">
        <v>42735</v>
      </c>
      <c r="G746" s="140">
        <v>498.42214999999999</v>
      </c>
      <c r="H746" s="140">
        <v>6</v>
      </c>
      <c r="I746" s="140">
        <v>1.3785700000000001</v>
      </c>
      <c r="J746" s="140">
        <v>4.3654600000000006</v>
      </c>
      <c r="K746" s="140">
        <v>287.46386999999999</v>
      </c>
      <c r="L746" s="140">
        <v>307.02021000000002</v>
      </c>
    </row>
    <row r="747" spans="1:12">
      <c r="A747" s="138" t="s">
        <v>3033</v>
      </c>
      <c r="B747" s="135" t="s">
        <v>3036</v>
      </c>
      <c r="C747" s="136" t="s">
        <v>1120</v>
      </c>
      <c r="D747" s="136" t="s">
        <v>1112</v>
      </c>
      <c r="E747" s="138" t="s">
        <v>1571</v>
      </c>
      <c r="F747" s="420">
        <v>43100</v>
      </c>
      <c r="G747" s="141">
        <v>495.83356000000003</v>
      </c>
      <c r="H747" s="141">
        <v>7</v>
      </c>
      <c r="I747" s="141"/>
      <c r="J747" s="141">
        <v>-133.12120899999999</v>
      </c>
      <c r="K747" s="141">
        <v>218.60732999999999</v>
      </c>
      <c r="L747" s="141">
        <v>104.57038</v>
      </c>
    </row>
    <row r="748" spans="1:12">
      <c r="A748" s="136" t="s">
        <v>3035</v>
      </c>
      <c r="B748" s="137" t="s">
        <v>3038</v>
      </c>
      <c r="C748" s="138" t="s">
        <v>1020</v>
      </c>
      <c r="D748" s="138" t="s">
        <v>1013</v>
      </c>
      <c r="E748" s="136" t="s">
        <v>1571</v>
      </c>
      <c r="F748" s="419">
        <v>42369</v>
      </c>
      <c r="G748" s="140">
        <v>491.56481000000002</v>
      </c>
      <c r="H748" s="140">
        <v>4</v>
      </c>
      <c r="I748" s="140">
        <v>1.0439500000000002</v>
      </c>
      <c r="J748" s="140">
        <v>3.3058400000000003</v>
      </c>
      <c r="K748" s="140">
        <v>87.012</v>
      </c>
      <c r="L748" s="140">
        <v>97.849059999999994</v>
      </c>
    </row>
    <row r="749" spans="1:12" ht="42">
      <c r="A749" s="138" t="s">
        <v>3037</v>
      </c>
      <c r="B749" s="135" t="s">
        <v>3040</v>
      </c>
      <c r="C749" s="136" t="s">
        <v>1471</v>
      </c>
      <c r="D749" s="136" t="s">
        <v>1366</v>
      </c>
      <c r="E749" s="138" t="s">
        <v>1571</v>
      </c>
      <c r="F749" s="420">
        <v>43100</v>
      </c>
      <c r="G749" s="141">
        <v>484.61986999999999</v>
      </c>
      <c r="H749" s="141">
        <v>4</v>
      </c>
      <c r="I749" s="142" t="s">
        <v>189</v>
      </c>
      <c r="J749" s="141">
        <v>-20.424890000000001</v>
      </c>
      <c r="K749" s="141">
        <v>114.07590999999999</v>
      </c>
      <c r="L749" s="141">
        <v>93.651020000000003</v>
      </c>
    </row>
    <row r="750" spans="1:12" ht="31.5">
      <c r="A750" s="136" t="s">
        <v>3039</v>
      </c>
      <c r="B750" s="137" t="s">
        <v>3042</v>
      </c>
      <c r="C750" s="138" t="s">
        <v>1192</v>
      </c>
      <c r="D750" s="138" t="s">
        <v>1190</v>
      </c>
      <c r="E750" s="136" t="s">
        <v>1571</v>
      </c>
      <c r="F750" s="419">
        <v>43100</v>
      </c>
      <c r="G750" s="140">
        <v>479.47778000000005</v>
      </c>
      <c r="H750" s="140">
        <v>5</v>
      </c>
      <c r="I750" s="143" t="s">
        <v>189</v>
      </c>
      <c r="J750" s="140">
        <v>2.3932799999999999</v>
      </c>
      <c r="K750" s="140">
        <v>170.20495</v>
      </c>
      <c r="L750" s="140">
        <v>178.64382999999998</v>
      </c>
    </row>
    <row r="751" spans="1:12" ht="42">
      <c r="A751" s="138" t="s">
        <v>3041</v>
      </c>
      <c r="B751" s="135" t="s">
        <v>3044</v>
      </c>
      <c r="C751" s="136" t="s">
        <v>1335</v>
      </c>
      <c r="D751" s="136" t="s">
        <v>1320</v>
      </c>
      <c r="E751" s="138" t="s">
        <v>1571</v>
      </c>
      <c r="F751" s="420">
        <v>43100</v>
      </c>
      <c r="G751" s="141">
        <v>475.03591000000006</v>
      </c>
      <c r="H751" s="141">
        <v>3</v>
      </c>
      <c r="I751" s="141">
        <v>28.109080000000002</v>
      </c>
      <c r="J751" s="141">
        <v>112.80280999999999</v>
      </c>
      <c r="K751" s="141">
        <v>99.468090000000004</v>
      </c>
      <c r="L751" s="141">
        <v>273.24363</v>
      </c>
    </row>
    <row r="752" spans="1:12" ht="21">
      <c r="A752" s="136" t="s">
        <v>3043</v>
      </c>
      <c r="B752" s="137" t="s">
        <v>3046</v>
      </c>
      <c r="C752" s="138" t="s">
        <v>1303</v>
      </c>
      <c r="D752" s="138" t="s">
        <v>1266</v>
      </c>
      <c r="E752" s="136" t="s">
        <v>1571</v>
      </c>
      <c r="F752" s="419">
        <v>43008</v>
      </c>
      <c r="G752" s="140">
        <v>474.45499999999998</v>
      </c>
      <c r="H752" s="140">
        <v>8</v>
      </c>
      <c r="I752" s="140">
        <v>0.13800000000000001</v>
      </c>
      <c r="J752" s="140">
        <v>-64.933999999999997</v>
      </c>
      <c r="K752" s="140">
        <v>226.05799999999999</v>
      </c>
      <c r="L752" s="140">
        <v>166.16499999999999</v>
      </c>
    </row>
    <row r="753" spans="1:12" ht="31.5">
      <c r="A753" s="138" t="s">
        <v>3045</v>
      </c>
      <c r="B753" s="135" t="s">
        <v>3048</v>
      </c>
      <c r="C753" s="136" t="s">
        <v>1332</v>
      </c>
      <c r="D753" s="136" t="s">
        <v>1320</v>
      </c>
      <c r="E753" s="138" t="s">
        <v>1571</v>
      </c>
      <c r="F753" s="420">
        <v>43100</v>
      </c>
      <c r="G753" s="141">
        <v>472.03856000000002</v>
      </c>
      <c r="H753" s="141">
        <v>1</v>
      </c>
      <c r="I753" s="142" t="s">
        <v>189</v>
      </c>
      <c r="J753" s="141">
        <v>1.7799200000000002</v>
      </c>
      <c r="K753" s="141">
        <v>48.729719999999993</v>
      </c>
      <c r="L753" s="141">
        <v>60.056438999999997</v>
      </c>
    </row>
    <row r="754" spans="1:12" ht="52.5">
      <c r="A754" s="136" t="s">
        <v>3047</v>
      </c>
      <c r="B754" s="137" t="s">
        <v>3050</v>
      </c>
      <c r="C754" s="138" t="s">
        <v>1517</v>
      </c>
      <c r="D754" s="138" t="s">
        <v>1501</v>
      </c>
      <c r="E754" s="136" t="s">
        <v>1571</v>
      </c>
      <c r="F754" s="419">
        <v>42004</v>
      </c>
      <c r="G754" s="140">
        <v>471.66370000000001</v>
      </c>
      <c r="H754" s="140">
        <v>8</v>
      </c>
      <c r="I754" s="140"/>
      <c r="J754" s="140">
        <v>-59.758400000000002</v>
      </c>
      <c r="K754" s="140">
        <v>192.23615000000001</v>
      </c>
      <c r="L754" s="140">
        <v>142.9024</v>
      </c>
    </row>
    <row r="755" spans="1:12">
      <c r="A755" s="138" t="s">
        <v>3049</v>
      </c>
      <c r="B755" s="421" t="s">
        <v>3052</v>
      </c>
      <c r="C755" s="136" t="s">
        <v>1123</v>
      </c>
      <c r="D755" s="136" t="s">
        <v>1112</v>
      </c>
      <c r="E755" s="138" t="s">
        <v>1571</v>
      </c>
      <c r="F755" s="420">
        <v>43100</v>
      </c>
      <c r="G755" s="141">
        <v>471.30428000000006</v>
      </c>
      <c r="H755" s="141">
        <v>2</v>
      </c>
      <c r="I755" s="141">
        <v>3.56229</v>
      </c>
      <c r="J755" s="141">
        <v>14.99132</v>
      </c>
      <c r="K755" s="141">
        <v>62.187300000000008</v>
      </c>
      <c r="L755" s="141">
        <v>82.593289999999996</v>
      </c>
    </row>
    <row r="756" spans="1:12" ht="21">
      <c r="A756" s="136" t="s">
        <v>3051</v>
      </c>
      <c r="B756" s="137" t="s">
        <v>3054</v>
      </c>
      <c r="C756" s="138" t="s">
        <v>833</v>
      </c>
      <c r="D756" s="138" t="s">
        <v>811</v>
      </c>
      <c r="E756" s="136" t="s">
        <v>1571</v>
      </c>
      <c r="F756" s="419">
        <v>42004</v>
      </c>
      <c r="G756" s="140">
        <v>468.99102000000005</v>
      </c>
      <c r="H756" s="140">
        <v>6</v>
      </c>
      <c r="I756" s="143" t="s">
        <v>189</v>
      </c>
      <c r="J756" s="140">
        <v>-57.307950000000005</v>
      </c>
      <c r="K756" s="140">
        <v>244.16882999999999</v>
      </c>
      <c r="L756" s="140">
        <v>204.77625</v>
      </c>
    </row>
    <row r="757" spans="1:12" ht="42">
      <c r="A757" s="138" t="s">
        <v>3053</v>
      </c>
      <c r="B757" s="135" t="s">
        <v>3056</v>
      </c>
      <c r="C757" s="136" t="s">
        <v>1330</v>
      </c>
      <c r="D757" s="136" t="s">
        <v>1320</v>
      </c>
      <c r="E757" s="138" t="s">
        <v>1571</v>
      </c>
      <c r="F757" s="420">
        <v>43100</v>
      </c>
      <c r="G757" s="141">
        <v>468.35631000000001</v>
      </c>
      <c r="H757" s="141">
        <v>7</v>
      </c>
      <c r="I757" s="141">
        <v>5.7533300000000001</v>
      </c>
      <c r="J757" s="141">
        <v>18.218880000000002</v>
      </c>
      <c r="K757" s="141">
        <v>205.41113000000001</v>
      </c>
      <c r="L757" s="141">
        <v>236.47546</v>
      </c>
    </row>
    <row r="758" spans="1:12" ht="31.5">
      <c r="A758" s="136" t="s">
        <v>3055</v>
      </c>
      <c r="B758" s="137" t="s">
        <v>3058</v>
      </c>
      <c r="C758" s="138" t="s">
        <v>749</v>
      </c>
      <c r="D758" s="138" t="s">
        <v>3059</v>
      </c>
      <c r="E758" s="136" t="s">
        <v>1571</v>
      </c>
      <c r="F758" s="419">
        <v>43100</v>
      </c>
      <c r="G758" s="140">
        <v>461.45993000000004</v>
      </c>
      <c r="H758" s="140">
        <v>2</v>
      </c>
      <c r="I758" s="143" t="s">
        <v>189</v>
      </c>
      <c r="J758" s="140">
        <v>15.51726</v>
      </c>
      <c r="K758" s="140">
        <v>43.058699999999995</v>
      </c>
      <c r="L758" s="140">
        <v>58.581228999999993</v>
      </c>
    </row>
    <row r="759" spans="1:12" ht="31.5">
      <c r="A759" s="138" t="s">
        <v>3057</v>
      </c>
      <c r="B759" s="135" t="s">
        <v>3061</v>
      </c>
      <c r="C759" s="136" t="s">
        <v>1049</v>
      </c>
      <c r="D759" s="136" t="s">
        <v>971</v>
      </c>
      <c r="E759" s="138" t="s">
        <v>1571</v>
      </c>
      <c r="F759" s="420">
        <v>43100</v>
      </c>
      <c r="G759" s="141">
        <v>460.97266999999999</v>
      </c>
      <c r="H759" s="141">
        <v>8</v>
      </c>
      <c r="I759" s="142" t="s">
        <v>189</v>
      </c>
      <c r="J759" s="141">
        <v>15.195680000000001</v>
      </c>
      <c r="K759" s="141">
        <v>308.89603000000005</v>
      </c>
      <c r="L759" s="141">
        <v>361.24563999999998</v>
      </c>
    </row>
    <row r="760" spans="1:12" ht="21">
      <c r="A760" s="136" t="s">
        <v>3060</v>
      </c>
      <c r="B760" s="137" t="s">
        <v>3063</v>
      </c>
      <c r="C760" s="138" t="s">
        <v>1302</v>
      </c>
      <c r="D760" s="138" t="s">
        <v>1266</v>
      </c>
      <c r="E760" s="136" t="s">
        <v>1571</v>
      </c>
      <c r="F760" s="419">
        <v>43100</v>
      </c>
      <c r="G760" s="140">
        <v>457.83489000000003</v>
      </c>
      <c r="H760" s="140">
        <v>2</v>
      </c>
      <c r="I760" s="140">
        <v>0.37680000000000002</v>
      </c>
      <c r="J760" s="140">
        <v>3.1913400000000003</v>
      </c>
      <c r="K760" s="140">
        <v>205.7543</v>
      </c>
      <c r="L760" s="140">
        <v>216.48606899999999</v>
      </c>
    </row>
    <row r="761" spans="1:12" ht="42">
      <c r="A761" s="138" t="s">
        <v>3062</v>
      </c>
      <c r="B761" s="135" t="s">
        <v>3065</v>
      </c>
      <c r="C761" s="136" t="s">
        <v>1344</v>
      </c>
      <c r="D761" s="136" t="s">
        <v>1279</v>
      </c>
      <c r="E761" s="138" t="s">
        <v>1571</v>
      </c>
      <c r="F761" s="420">
        <v>43100</v>
      </c>
      <c r="G761" s="141">
        <v>453.74040000000002</v>
      </c>
      <c r="H761" s="141">
        <v>3</v>
      </c>
      <c r="I761" s="142" t="s">
        <v>189</v>
      </c>
      <c r="J761" s="141">
        <v>-2.5346300000000004</v>
      </c>
      <c r="K761" s="141">
        <v>149.81311000000002</v>
      </c>
      <c r="L761" s="141">
        <v>152.81108899999998</v>
      </c>
    </row>
    <row r="762" spans="1:12" ht="31.5">
      <c r="A762" s="136" t="s">
        <v>3064</v>
      </c>
      <c r="B762" s="137" t="s">
        <v>3067</v>
      </c>
      <c r="C762" s="138" t="s">
        <v>1128</v>
      </c>
      <c r="D762" s="138" t="s">
        <v>1112</v>
      </c>
      <c r="E762" s="136" t="s">
        <v>1571</v>
      </c>
      <c r="F762" s="419">
        <v>43100</v>
      </c>
      <c r="G762" s="140">
        <v>452.25284999999997</v>
      </c>
      <c r="H762" s="140">
        <v>2</v>
      </c>
      <c r="I762" s="140">
        <v>9.2735000000000003</v>
      </c>
      <c r="J762" s="140">
        <v>78.179029999999997</v>
      </c>
      <c r="K762" s="140">
        <v>113.35593</v>
      </c>
      <c r="L762" s="140">
        <v>222.76703899999998</v>
      </c>
    </row>
    <row r="763" spans="1:12" ht="31.5">
      <c r="A763" s="138" t="s">
        <v>3066</v>
      </c>
      <c r="B763" s="135" t="s">
        <v>3069</v>
      </c>
      <c r="C763" s="136" t="s">
        <v>1566</v>
      </c>
      <c r="D763" s="136" t="s">
        <v>1456</v>
      </c>
      <c r="E763" s="138" t="s">
        <v>1571</v>
      </c>
      <c r="F763" s="420">
        <v>43100</v>
      </c>
      <c r="G763" s="141">
        <v>450.28636</v>
      </c>
      <c r="H763" s="141">
        <v>9</v>
      </c>
      <c r="I763" s="142" t="s">
        <v>189</v>
      </c>
      <c r="J763" s="141">
        <v>-132.856709</v>
      </c>
      <c r="K763" s="141">
        <v>215.65541999999999</v>
      </c>
      <c r="L763" s="141">
        <v>178.86753099999999</v>
      </c>
    </row>
    <row r="764" spans="1:12" ht="21">
      <c r="A764" s="136" t="s">
        <v>3068</v>
      </c>
      <c r="B764" s="139" t="s">
        <v>3071</v>
      </c>
      <c r="C764" s="138" t="s">
        <v>1118</v>
      </c>
      <c r="D764" s="138" t="s">
        <v>1112</v>
      </c>
      <c r="E764" s="136" t="s">
        <v>1571</v>
      </c>
      <c r="F764" s="419">
        <v>43100</v>
      </c>
      <c r="G764" s="140">
        <v>449.99069000000003</v>
      </c>
      <c r="H764" s="140">
        <v>2</v>
      </c>
      <c r="I764" s="143" t="s">
        <v>189</v>
      </c>
      <c r="J764" s="140">
        <v>-6.0597799999999999</v>
      </c>
      <c r="K764" s="140">
        <v>80.291399999999996</v>
      </c>
      <c r="L764" s="140">
        <v>88.543509999999998</v>
      </c>
    </row>
    <row r="765" spans="1:12" ht="31.5">
      <c r="A765" s="138" t="s">
        <v>3070</v>
      </c>
      <c r="B765" s="135" t="s">
        <v>3073</v>
      </c>
      <c r="C765" s="136" t="s">
        <v>1414</v>
      </c>
      <c r="D765" s="136" t="s">
        <v>1415</v>
      </c>
      <c r="E765" s="138" t="s">
        <v>1571</v>
      </c>
      <c r="F765" s="420">
        <v>42369</v>
      </c>
      <c r="G765" s="141">
        <v>448.84477000000004</v>
      </c>
      <c r="H765" s="141">
        <v>4</v>
      </c>
      <c r="I765" s="141">
        <v>1.8409999999999999E-2</v>
      </c>
      <c r="J765" s="141">
        <v>5.8290000000000008E-2</v>
      </c>
      <c r="K765" s="141">
        <v>135.36787000000001</v>
      </c>
      <c r="L765" s="141">
        <v>153.71117000000001</v>
      </c>
    </row>
    <row r="766" spans="1:12" ht="21">
      <c r="A766" s="136" t="s">
        <v>3072</v>
      </c>
      <c r="B766" s="139" t="s">
        <v>3075</v>
      </c>
      <c r="C766" s="138" t="s">
        <v>1457</v>
      </c>
      <c r="D766" s="138" t="s">
        <v>1456</v>
      </c>
      <c r="E766" s="136" t="s">
        <v>1571</v>
      </c>
      <c r="F766" s="419">
        <v>43100</v>
      </c>
      <c r="G766" s="140">
        <v>448.07794000000001</v>
      </c>
      <c r="H766" s="140">
        <v>3</v>
      </c>
      <c r="I766" s="140"/>
      <c r="J766" s="140">
        <v>-13.494670000000001</v>
      </c>
      <c r="K766" s="140">
        <v>109.16164000000001</v>
      </c>
      <c r="L766" s="140">
        <v>97.137839999999997</v>
      </c>
    </row>
    <row r="767" spans="1:12" ht="42">
      <c r="A767" s="138" t="s">
        <v>3074</v>
      </c>
      <c r="B767" s="135" t="s">
        <v>3077</v>
      </c>
      <c r="C767" s="136" t="s">
        <v>1550</v>
      </c>
      <c r="D767" s="136" t="s">
        <v>1279</v>
      </c>
      <c r="E767" s="138" t="s">
        <v>1571</v>
      </c>
      <c r="F767" s="420">
        <v>42369</v>
      </c>
      <c r="G767" s="141">
        <v>447.88000900000003</v>
      </c>
      <c r="H767" s="141">
        <v>18</v>
      </c>
      <c r="I767" s="141">
        <v>0.21058000000000002</v>
      </c>
      <c r="J767" s="141">
        <v>-7.5230699999999997</v>
      </c>
      <c r="K767" s="141">
        <v>183.19891999999999</v>
      </c>
      <c r="L767" s="141">
        <v>180.46111000000002</v>
      </c>
    </row>
    <row r="768" spans="1:12" ht="31.5">
      <c r="A768" s="136" t="s">
        <v>3076</v>
      </c>
      <c r="B768" s="137" t="s">
        <v>3079</v>
      </c>
      <c r="C768" s="138" t="s">
        <v>1512</v>
      </c>
      <c r="D768" s="138" t="s">
        <v>1501</v>
      </c>
      <c r="E768" s="136" t="s">
        <v>1571</v>
      </c>
      <c r="F768" s="419">
        <v>42735</v>
      </c>
      <c r="G768" s="140">
        <v>447.84975000000003</v>
      </c>
      <c r="H768" s="140">
        <v>3</v>
      </c>
      <c r="I768" s="143" t="s">
        <v>189</v>
      </c>
      <c r="J768" s="140">
        <v>3.3902799999999997</v>
      </c>
      <c r="K768" s="140">
        <v>158.65568999999999</v>
      </c>
      <c r="L768" s="140">
        <v>174.95491000000001</v>
      </c>
    </row>
    <row r="769" spans="1:12" ht="42">
      <c r="A769" s="138" t="s">
        <v>3078</v>
      </c>
      <c r="B769" s="421" t="s">
        <v>3081</v>
      </c>
      <c r="C769" s="136" t="s">
        <v>1400</v>
      </c>
      <c r="D769" s="136" t="s">
        <v>1399</v>
      </c>
      <c r="E769" s="138" t="s">
        <v>1571</v>
      </c>
      <c r="F769" s="420">
        <v>43100</v>
      </c>
      <c r="G769" s="141">
        <v>442.85883999999999</v>
      </c>
      <c r="H769" s="141">
        <v>2</v>
      </c>
      <c r="I769" s="141">
        <v>0.15636000000000003</v>
      </c>
      <c r="J769" s="141">
        <v>0.65803999999999996</v>
      </c>
      <c r="K769" s="141">
        <v>57.477119999999999</v>
      </c>
      <c r="L769" s="141">
        <v>62.004519999999999</v>
      </c>
    </row>
    <row r="770" spans="1:12" ht="21">
      <c r="A770" s="136" t="s">
        <v>3080</v>
      </c>
      <c r="B770" s="137" t="s">
        <v>3083</v>
      </c>
      <c r="C770" s="138" t="s">
        <v>1524</v>
      </c>
      <c r="D770" s="138" t="s">
        <v>1501</v>
      </c>
      <c r="E770" s="136" t="s">
        <v>1571</v>
      </c>
      <c r="F770" s="419">
        <v>41639</v>
      </c>
      <c r="G770" s="140">
        <v>442.80139000000003</v>
      </c>
      <c r="H770" s="140">
        <v>9</v>
      </c>
      <c r="I770" s="143" t="s">
        <v>189</v>
      </c>
      <c r="J770" s="140">
        <v>2.0301</v>
      </c>
      <c r="K770" s="140">
        <v>246.39011000000002</v>
      </c>
      <c r="L770" s="140">
        <v>253.60400000000001</v>
      </c>
    </row>
    <row r="771" spans="1:12" ht="21">
      <c r="A771" s="138" t="s">
        <v>3082</v>
      </c>
      <c r="B771" s="135" t="s">
        <v>3085</v>
      </c>
      <c r="C771" s="136" t="s">
        <v>1324</v>
      </c>
      <c r="D771" s="136" t="s">
        <v>1320</v>
      </c>
      <c r="E771" s="138" t="s">
        <v>1571</v>
      </c>
      <c r="F771" s="420">
        <v>42369</v>
      </c>
      <c r="G771" s="141">
        <v>440.79862000000003</v>
      </c>
      <c r="H771" s="141">
        <v>4</v>
      </c>
      <c r="I771" s="141">
        <v>6.0326400000000007</v>
      </c>
      <c r="J771" s="141">
        <v>19.103369999999998</v>
      </c>
      <c r="K771" s="141">
        <v>132.27965</v>
      </c>
      <c r="L771" s="141">
        <v>186.60204999999999</v>
      </c>
    </row>
    <row r="772" spans="1:12" ht="21">
      <c r="A772" s="136" t="s">
        <v>3084</v>
      </c>
      <c r="B772" s="137" t="s">
        <v>3087</v>
      </c>
      <c r="C772" s="138" t="s">
        <v>1005</v>
      </c>
      <c r="D772" s="138" t="s">
        <v>975</v>
      </c>
      <c r="E772" s="136" t="s">
        <v>1571</v>
      </c>
      <c r="F772" s="419">
        <v>43100</v>
      </c>
      <c r="G772" s="140">
        <v>438.32147000000003</v>
      </c>
      <c r="H772" s="140">
        <v>6</v>
      </c>
      <c r="I772" s="143" t="s">
        <v>189</v>
      </c>
      <c r="J772" s="140">
        <v>-113.8908</v>
      </c>
      <c r="K772" s="140">
        <v>93.11966000000001</v>
      </c>
      <c r="L772" s="140">
        <v>-18.481840000000002</v>
      </c>
    </row>
    <row r="773" spans="1:12" ht="21">
      <c r="A773" s="138" t="s">
        <v>3086</v>
      </c>
      <c r="B773" s="135" t="s">
        <v>3089</v>
      </c>
      <c r="C773" s="136" t="s">
        <v>1367</v>
      </c>
      <c r="D773" s="136" t="s">
        <v>1368</v>
      </c>
      <c r="E773" s="138" t="s">
        <v>1571</v>
      </c>
      <c r="F773" s="420">
        <v>43100</v>
      </c>
      <c r="G773" s="141">
        <v>437.6977</v>
      </c>
      <c r="H773" s="141">
        <v>5</v>
      </c>
      <c r="I773" s="142" t="s">
        <v>189</v>
      </c>
      <c r="J773" s="141">
        <v>16.588470000000001</v>
      </c>
      <c r="K773" s="141">
        <v>195.20125000000002</v>
      </c>
      <c r="L773" s="141">
        <v>219.95506</v>
      </c>
    </row>
    <row r="774" spans="1:12" ht="42">
      <c r="A774" s="136" t="s">
        <v>3088</v>
      </c>
      <c r="B774" s="137" t="s">
        <v>3091</v>
      </c>
      <c r="C774" s="138" t="s">
        <v>1557</v>
      </c>
      <c r="D774" s="138" t="s">
        <v>1279</v>
      </c>
      <c r="E774" s="136" t="s">
        <v>1571</v>
      </c>
      <c r="F774" s="419">
        <v>43100</v>
      </c>
      <c r="G774" s="140">
        <v>433.87583999999998</v>
      </c>
      <c r="H774" s="140">
        <v>1</v>
      </c>
      <c r="I774" s="143" t="s">
        <v>189</v>
      </c>
      <c r="J774" s="140">
        <v>5.62995</v>
      </c>
      <c r="K774" s="140">
        <v>31.00788</v>
      </c>
      <c r="L774" s="140">
        <v>61.664250000000003</v>
      </c>
    </row>
    <row r="775" spans="1:12" ht="31.5">
      <c r="A775" s="138" t="s">
        <v>3090</v>
      </c>
      <c r="B775" s="135" t="s">
        <v>3093</v>
      </c>
      <c r="C775" s="136" t="s">
        <v>936</v>
      </c>
      <c r="D775" s="136" t="s">
        <v>811</v>
      </c>
      <c r="E775" s="138" t="s">
        <v>1571</v>
      </c>
      <c r="F775" s="420">
        <v>43100</v>
      </c>
      <c r="G775" s="141">
        <v>432.19323000000003</v>
      </c>
      <c r="H775" s="141">
        <v>5</v>
      </c>
      <c r="I775" s="141">
        <v>22.947669999999999</v>
      </c>
      <c r="J775" s="141">
        <v>95.890889999999999</v>
      </c>
      <c r="K775" s="141">
        <v>133.29191999999998</v>
      </c>
      <c r="L775" s="141">
        <v>257.57283000000001</v>
      </c>
    </row>
    <row r="776" spans="1:12" ht="52.5">
      <c r="A776" s="136" t="s">
        <v>3092</v>
      </c>
      <c r="B776" s="137" t="s">
        <v>3095</v>
      </c>
      <c r="C776" s="138" t="s">
        <v>1562</v>
      </c>
      <c r="D776" s="138" t="s">
        <v>1279</v>
      </c>
      <c r="E776" s="136" t="s">
        <v>1571</v>
      </c>
      <c r="F776" s="419">
        <v>43100</v>
      </c>
      <c r="G776" s="140">
        <v>431.22613000000001</v>
      </c>
      <c r="H776" s="140">
        <v>1</v>
      </c>
      <c r="I776" s="140">
        <v>1.98173</v>
      </c>
      <c r="J776" s="140">
        <v>6.9472800000000001</v>
      </c>
      <c r="K776" s="140">
        <v>96.621320000000011</v>
      </c>
      <c r="L776" s="140">
        <v>108.01237000000002</v>
      </c>
    </row>
    <row r="777" spans="1:12" ht="21">
      <c r="A777" s="138" t="s">
        <v>3094</v>
      </c>
      <c r="B777" s="135" t="s">
        <v>3097</v>
      </c>
      <c r="C777" s="136" t="s">
        <v>944</v>
      </c>
      <c r="D777" s="136" t="s">
        <v>811</v>
      </c>
      <c r="E777" s="138" t="s">
        <v>1571</v>
      </c>
      <c r="F777" s="420">
        <v>43100</v>
      </c>
      <c r="G777" s="141">
        <v>428.57055000000003</v>
      </c>
      <c r="H777" s="141">
        <v>6</v>
      </c>
      <c r="I777" s="141">
        <v>11.708270000000001</v>
      </c>
      <c r="J777" s="141">
        <v>49.272320000000001</v>
      </c>
      <c r="K777" s="141">
        <v>183.52504999999999</v>
      </c>
      <c r="L777" s="141">
        <v>273.72458900000004</v>
      </c>
    </row>
    <row r="778" spans="1:12" ht="63">
      <c r="A778" s="136" t="s">
        <v>3096</v>
      </c>
      <c r="B778" s="137" t="s">
        <v>3099</v>
      </c>
      <c r="C778" s="138" t="s">
        <v>1384</v>
      </c>
      <c r="D778" s="138" t="s">
        <v>1797</v>
      </c>
      <c r="E778" s="136" t="s">
        <v>1571</v>
      </c>
      <c r="F778" s="419">
        <v>43100</v>
      </c>
      <c r="G778" s="140">
        <v>427.86099000000007</v>
      </c>
      <c r="H778" s="140">
        <v>1</v>
      </c>
      <c r="I778" s="140">
        <v>0.50751000000000002</v>
      </c>
      <c r="J778" s="140">
        <v>1.0836399999999999</v>
      </c>
      <c r="K778" s="140">
        <v>29.871980000000004</v>
      </c>
      <c r="L778" s="140">
        <v>34.096540000000005</v>
      </c>
    </row>
    <row r="779" spans="1:12">
      <c r="A779" s="138" t="s">
        <v>3098</v>
      </c>
      <c r="B779" s="135" t="s">
        <v>3101</v>
      </c>
      <c r="C779" s="136" t="s">
        <v>1035</v>
      </c>
      <c r="D779" s="136" t="s">
        <v>1027</v>
      </c>
      <c r="E779" s="138" t="s">
        <v>1571</v>
      </c>
      <c r="F779" s="420">
        <v>43100</v>
      </c>
      <c r="G779" s="141">
        <v>424.68829999999997</v>
      </c>
      <c r="H779" s="141">
        <v>4</v>
      </c>
      <c r="I779" s="141">
        <v>6.9208600000000011</v>
      </c>
      <c r="J779" s="141">
        <v>29.125299999999999</v>
      </c>
      <c r="K779" s="141">
        <v>114.14928999999999</v>
      </c>
      <c r="L779" s="141">
        <v>150.51677000000001</v>
      </c>
    </row>
    <row r="780" spans="1:12" ht="21">
      <c r="A780" s="136" t="s">
        <v>3100</v>
      </c>
      <c r="B780" s="137" t="s">
        <v>3103</v>
      </c>
      <c r="C780" s="138" t="s">
        <v>995</v>
      </c>
      <c r="D780" s="138" t="s">
        <v>975</v>
      </c>
      <c r="E780" s="136" t="s">
        <v>1571</v>
      </c>
      <c r="F780" s="419">
        <v>39082</v>
      </c>
      <c r="G780" s="140">
        <v>419.16527000000002</v>
      </c>
      <c r="H780" s="140">
        <v>1</v>
      </c>
      <c r="I780" s="140">
        <v>2.1127599999999997</v>
      </c>
      <c r="J780" s="140">
        <v>4.9297699999999995</v>
      </c>
      <c r="K780" s="140">
        <v>43.869010000000003</v>
      </c>
      <c r="L780" s="140">
        <v>84.678479999999993</v>
      </c>
    </row>
    <row r="781" spans="1:12" ht="42">
      <c r="A781" s="138" t="s">
        <v>3102</v>
      </c>
      <c r="B781" s="135" t="s">
        <v>3105</v>
      </c>
      <c r="C781" s="136" t="s">
        <v>1010</v>
      </c>
      <c r="D781" s="136" t="s">
        <v>987</v>
      </c>
      <c r="E781" s="138" t="s">
        <v>1571</v>
      </c>
      <c r="F781" s="420">
        <v>43100</v>
      </c>
      <c r="G781" s="141">
        <v>414.88143000000008</v>
      </c>
      <c r="H781" s="141">
        <v>3</v>
      </c>
      <c r="I781" s="142" t="s">
        <v>189</v>
      </c>
      <c r="J781" s="141">
        <v>3.8252899999999999</v>
      </c>
      <c r="K781" s="141">
        <v>79.13327000000001</v>
      </c>
      <c r="L781" s="141">
        <v>90.997950000000003</v>
      </c>
    </row>
    <row r="782" spans="1:12" ht="63">
      <c r="A782" s="136" t="s">
        <v>3104</v>
      </c>
      <c r="B782" s="137" t="s">
        <v>3107</v>
      </c>
      <c r="C782" s="138" t="s">
        <v>1248</v>
      </c>
      <c r="D782" s="138" t="s">
        <v>1249</v>
      </c>
      <c r="E782" s="136" t="s">
        <v>1571</v>
      </c>
      <c r="F782" s="419">
        <v>43100</v>
      </c>
      <c r="G782" s="140">
        <v>404.85223999999999</v>
      </c>
      <c r="H782" s="143" t="s">
        <v>189</v>
      </c>
      <c r="I782" s="140"/>
      <c r="J782" s="140">
        <v>-32.07602</v>
      </c>
      <c r="K782" s="140">
        <v>103.30955</v>
      </c>
      <c r="L782" s="140">
        <v>96.379419999999996</v>
      </c>
    </row>
    <row r="783" spans="1:12" ht="42">
      <c r="A783" s="138" t="s">
        <v>3106</v>
      </c>
      <c r="B783" s="135" t="s">
        <v>3109</v>
      </c>
      <c r="C783" s="136" t="s">
        <v>1222</v>
      </c>
      <c r="D783" s="136" t="s">
        <v>1223</v>
      </c>
      <c r="E783" s="138" t="s">
        <v>1571</v>
      </c>
      <c r="F783" s="420">
        <v>43100</v>
      </c>
      <c r="G783" s="141">
        <v>400.72595000000001</v>
      </c>
      <c r="H783" s="141">
        <v>2</v>
      </c>
      <c r="I783" s="142" t="s">
        <v>189</v>
      </c>
      <c r="J783" s="141">
        <v>3.0723100000000003</v>
      </c>
      <c r="K783" s="141">
        <v>49.67606</v>
      </c>
      <c r="L783" s="141">
        <v>62.948369</v>
      </c>
    </row>
    <row r="784" spans="1:12" ht="21">
      <c r="A784" s="136" t="s">
        <v>3108</v>
      </c>
      <c r="B784" s="137" t="s">
        <v>3111</v>
      </c>
      <c r="C784" s="138" t="s">
        <v>1127</v>
      </c>
      <c r="D784" s="138" t="s">
        <v>1112</v>
      </c>
      <c r="E784" s="136" t="s">
        <v>1571</v>
      </c>
      <c r="F784" s="419">
        <v>43100</v>
      </c>
      <c r="G784" s="140">
        <v>395.06562000000002</v>
      </c>
      <c r="H784" s="140">
        <v>5</v>
      </c>
      <c r="I784" s="143" t="s">
        <v>189</v>
      </c>
      <c r="J784" s="140">
        <v>-36.436289999999993</v>
      </c>
      <c r="K784" s="140">
        <v>185.40394999999998</v>
      </c>
      <c r="L784" s="140">
        <v>149.16791999999998</v>
      </c>
    </row>
    <row r="785" spans="1:12" ht="21">
      <c r="A785" s="138" t="s">
        <v>3110</v>
      </c>
      <c r="B785" s="135" t="s">
        <v>3113</v>
      </c>
      <c r="C785" s="136" t="s">
        <v>1454</v>
      </c>
      <c r="D785" s="136" t="s">
        <v>1456</v>
      </c>
      <c r="E785" s="138" t="s">
        <v>1571</v>
      </c>
      <c r="F785" s="420">
        <v>43100</v>
      </c>
      <c r="G785" s="141">
        <v>391.97578000000004</v>
      </c>
      <c r="H785" s="141">
        <v>8</v>
      </c>
      <c r="I785" s="141">
        <v>0.59892999999999996</v>
      </c>
      <c r="J785" s="141">
        <v>2.5205000000000002</v>
      </c>
      <c r="K785" s="141">
        <v>263.06581</v>
      </c>
      <c r="L785" s="141">
        <v>266.86543000000006</v>
      </c>
    </row>
    <row r="786" spans="1:12" ht="21">
      <c r="A786" s="136" t="s">
        <v>3112</v>
      </c>
      <c r="B786" s="137" t="s">
        <v>3115</v>
      </c>
      <c r="C786" s="138" t="s">
        <v>1365</v>
      </c>
      <c r="D786" s="138" t="s">
        <v>1366</v>
      </c>
      <c r="E786" s="136" t="s">
        <v>1571</v>
      </c>
      <c r="F786" s="419">
        <v>43100</v>
      </c>
      <c r="G786" s="140">
        <v>388.49726000000004</v>
      </c>
      <c r="H786" s="140">
        <v>4</v>
      </c>
      <c r="I786" s="140"/>
      <c r="J786" s="140">
        <v>-5.6404399999999999</v>
      </c>
      <c r="K786" s="140">
        <v>227.64408</v>
      </c>
      <c r="L786" s="140">
        <v>223.63263000000001</v>
      </c>
    </row>
    <row r="787" spans="1:12" ht="52.5">
      <c r="A787" s="138" t="s">
        <v>3114</v>
      </c>
      <c r="B787" s="135" t="s">
        <v>3117</v>
      </c>
      <c r="C787" s="136" t="s">
        <v>829</v>
      </c>
      <c r="D787" s="136" t="s">
        <v>811</v>
      </c>
      <c r="E787" s="138" t="s">
        <v>1571</v>
      </c>
      <c r="F787" s="420">
        <v>43100</v>
      </c>
      <c r="G787" s="141">
        <v>386.91300000000001</v>
      </c>
      <c r="H787" s="141">
        <v>8</v>
      </c>
      <c r="I787" s="141"/>
      <c r="J787" s="141">
        <v>-8.8557500000000005</v>
      </c>
      <c r="K787" s="141">
        <v>223.11937999999998</v>
      </c>
      <c r="L787" s="141">
        <v>220.30005</v>
      </c>
    </row>
    <row r="788" spans="1:12" ht="21">
      <c r="A788" s="136" t="s">
        <v>3116</v>
      </c>
      <c r="B788" s="137" t="s">
        <v>3119</v>
      </c>
      <c r="C788" s="138" t="s">
        <v>772</v>
      </c>
      <c r="D788" s="138" t="s">
        <v>753</v>
      </c>
      <c r="E788" s="136" t="s">
        <v>1571</v>
      </c>
      <c r="F788" s="419">
        <v>43100</v>
      </c>
      <c r="G788" s="140">
        <v>382.12920000000003</v>
      </c>
      <c r="H788" s="140">
        <v>4</v>
      </c>
      <c r="I788" s="140">
        <v>1.0346169999999999</v>
      </c>
      <c r="J788" s="140">
        <v>22.816009999999999</v>
      </c>
      <c r="K788" s="140">
        <v>158.90133</v>
      </c>
      <c r="L788" s="140">
        <v>191.11472700000002</v>
      </c>
    </row>
    <row r="789" spans="1:12" ht="31.5">
      <c r="A789" s="138" t="s">
        <v>3118</v>
      </c>
      <c r="B789" s="421" t="s">
        <v>3121</v>
      </c>
      <c r="C789" s="136" t="s">
        <v>1105</v>
      </c>
      <c r="D789" s="136" t="s">
        <v>969</v>
      </c>
      <c r="E789" s="138" t="s">
        <v>1571</v>
      </c>
      <c r="F789" s="420">
        <v>43100</v>
      </c>
      <c r="G789" s="141">
        <v>376.20002000000005</v>
      </c>
      <c r="H789" s="141">
        <v>4</v>
      </c>
      <c r="I789" s="142" t="s">
        <v>189</v>
      </c>
      <c r="J789" s="141">
        <v>8.8515800000000002</v>
      </c>
      <c r="K789" s="141">
        <v>145.70717000000002</v>
      </c>
      <c r="L789" s="141">
        <v>155.66952000000001</v>
      </c>
    </row>
    <row r="790" spans="1:12" ht="42">
      <c r="A790" s="136" t="s">
        <v>3120</v>
      </c>
      <c r="B790" s="137" t="s">
        <v>3123</v>
      </c>
      <c r="C790" s="138" t="s">
        <v>1518</v>
      </c>
      <c r="D790" s="138" t="s">
        <v>1501</v>
      </c>
      <c r="E790" s="136" t="s">
        <v>1571</v>
      </c>
      <c r="F790" s="419">
        <v>40908</v>
      </c>
      <c r="G790" s="140">
        <v>375.0213</v>
      </c>
      <c r="H790" s="140">
        <v>4</v>
      </c>
      <c r="I790" s="143" t="s">
        <v>189</v>
      </c>
      <c r="J790" s="140">
        <v>10.615170000000001</v>
      </c>
      <c r="K790" s="140">
        <v>99.628720000000001</v>
      </c>
      <c r="L790" s="140">
        <v>112.23183</v>
      </c>
    </row>
    <row r="791" spans="1:12" ht="31.5">
      <c r="A791" s="138" t="s">
        <v>3122</v>
      </c>
      <c r="B791" s="135" t="s">
        <v>3125</v>
      </c>
      <c r="C791" s="136" t="s">
        <v>762</v>
      </c>
      <c r="D791" s="136" t="s">
        <v>753</v>
      </c>
      <c r="E791" s="138" t="s">
        <v>1571</v>
      </c>
      <c r="F791" s="420">
        <v>43100</v>
      </c>
      <c r="G791" s="141">
        <v>372.71121000000005</v>
      </c>
      <c r="H791" s="141">
        <v>9</v>
      </c>
      <c r="I791" s="142" t="s">
        <v>189</v>
      </c>
      <c r="J791" s="141">
        <v>-16.196469999999998</v>
      </c>
      <c r="K791" s="141">
        <v>216.77444999999997</v>
      </c>
      <c r="L791" s="141">
        <v>210.53618</v>
      </c>
    </row>
    <row r="792" spans="1:12" ht="21">
      <c r="A792" s="136" t="s">
        <v>3124</v>
      </c>
      <c r="B792" s="137" t="s">
        <v>3127</v>
      </c>
      <c r="C792" s="138" t="s">
        <v>933</v>
      </c>
      <c r="D792" s="138" t="s">
        <v>811</v>
      </c>
      <c r="E792" s="136" t="s">
        <v>1571</v>
      </c>
      <c r="F792" s="419">
        <v>43100</v>
      </c>
      <c r="G792" s="140">
        <v>363.93925999999999</v>
      </c>
      <c r="H792" s="140">
        <v>4</v>
      </c>
      <c r="I792" s="143" t="s">
        <v>189</v>
      </c>
      <c r="J792" s="140">
        <v>5.5671600000000012</v>
      </c>
      <c r="K792" s="140">
        <v>186.06281999999999</v>
      </c>
      <c r="L792" s="140">
        <v>200.40257</v>
      </c>
    </row>
    <row r="793" spans="1:12" ht="21">
      <c r="A793" s="138" t="s">
        <v>3126</v>
      </c>
      <c r="B793" s="135" t="s">
        <v>3129</v>
      </c>
      <c r="C793" s="136" t="s">
        <v>754</v>
      </c>
      <c r="D793" s="136" t="s">
        <v>753</v>
      </c>
      <c r="E793" s="138" t="s">
        <v>1571</v>
      </c>
      <c r="F793" s="420">
        <v>43100</v>
      </c>
      <c r="G793" s="141">
        <v>361.57688900000005</v>
      </c>
      <c r="H793" s="141">
        <v>4</v>
      </c>
      <c r="I793" s="142" t="s">
        <v>189</v>
      </c>
      <c r="J793" s="141">
        <v>5.8763900000000007</v>
      </c>
      <c r="K793" s="141">
        <v>133.72470900000002</v>
      </c>
      <c r="L793" s="141">
        <v>142.34830899999997</v>
      </c>
    </row>
    <row r="794" spans="1:12">
      <c r="A794" s="136" t="s">
        <v>3128</v>
      </c>
      <c r="B794" s="137" t="s">
        <v>3131</v>
      </c>
      <c r="C794" s="138" t="s">
        <v>935</v>
      </c>
      <c r="D794" s="138" t="s">
        <v>811</v>
      </c>
      <c r="E794" s="136" t="s">
        <v>1571</v>
      </c>
      <c r="F794" s="419">
        <v>43100</v>
      </c>
      <c r="G794" s="140">
        <v>359.29532</v>
      </c>
      <c r="H794" s="140">
        <v>4</v>
      </c>
      <c r="I794" s="140">
        <v>22.64873</v>
      </c>
      <c r="J794" s="140">
        <v>92.898589999999999</v>
      </c>
      <c r="K794" s="140">
        <v>137.43332999999998</v>
      </c>
      <c r="L794" s="140">
        <v>253.98212899999999</v>
      </c>
    </row>
    <row r="795" spans="1:12" ht="52.5">
      <c r="A795" s="138" t="s">
        <v>3130</v>
      </c>
      <c r="B795" s="135" t="s">
        <v>3133</v>
      </c>
      <c r="C795" s="136" t="s">
        <v>1231</v>
      </c>
      <c r="D795" s="136" t="s">
        <v>1235</v>
      </c>
      <c r="E795" s="138" t="s">
        <v>1571</v>
      </c>
      <c r="F795" s="420">
        <v>43100</v>
      </c>
      <c r="G795" s="141">
        <v>354.87564900000001</v>
      </c>
      <c r="H795" s="141">
        <v>4</v>
      </c>
      <c r="I795" s="141">
        <v>2.9162300000000001</v>
      </c>
      <c r="J795" s="141">
        <v>24.571470000000001</v>
      </c>
      <c r="K795" s="141">
        <v>121.46934</v>
      </c>
      <c r="L795" s="141">
        <v>153.81187</v>
      </c>
    </row>
    <row r="796" spans="1:12" ht="21">
      <c r="A796" s="136" t="s">
        <v>3132</v>
      </c>
      <c r="B796" s="137" t="s">
        <v>3135</v>
      </c>
      <c r="C796" s="138" t="s">
        <v>637</v>
      </c>
      <c r="D796" s="138" t="s">
        <v>1972</v>
      </c>
      <c r="E796" s="136" t="s">
        <v>1571</v>
      </c>
      <c r="F796" s="419">
        <v>43100</v>
      </c>
      <c r="G796" s="140">
        <v>354.77497000000005</v>
      </c>
      <c r="H796" s="140">
        <v>2</v>
      </c>
      <c r="I796" s="140">
        <v>1.0106299999999999</v>
      </c>
      <c r="J796" s="140">
        <v>4.2530700000000001</v>
      </c>
      <c r="K796" s="140">
        <v>72.644000000000005</v>
      </c>
      <c r="L796" s="140">
        <v>79.104399999999998</v>
      </c>
    </row>
    <row r="797" spans="1:12" ht="31.5">
      <c r="A797" s="138" t="s">
        <v>3134</v>
      </c>
      <c r="B797" s="135" t="s">
        <v>3137</v>
      </c>
      <c r="C797" s="136" t="s">
        <v>1479</v>
      </c>
      <c r="D797" s="136" t="s">
        <v>1474</v>
      </c>
      <c r="E797" s="138" t="s">
        <v>1571</v>
      </c>
      <c r="F797" s="420">
        <v>43100</v>
      </c>
      <c r="G797" s="141">
        <v>340.15618000000001</v>
      </c>
      <c r="H797" s="141">
        <v>6</v>
      </c>
      <c r="I797" s="141">
        <v>5.8324100000000003</v>
      </c>
      <c r="J797" s="141">
        <v>48.874229999999997</v>
      </c>
      <c r="K797" s="141">
        <v>175.16977000000003</v>
      </c>
      <c r="L797" s="141">
        <v>243.51641900000001</v>
      </c>
    </row>
    <row r="798" spans="1:12">
      <c r="A798" s="136" t="s">
        <v>3136</v>
      </c>
      <c r="B798" s="137" t="s">
        <v>3139</v>
      </c>
      <c r="C798" s="138" t="s">
        <v>644</v>
      </c>
      <c r="D798" s="138" t="s">
        <v>641</v>
      </c>
      <c r="E798" s="136" t="s">
        <v>1571</v>
      </c>
      <c r="F798" s="419">
        <v>43100</v>
      </c>
      <c r="G798" s="140">
        <v>336.88973000000004</v>
      </c>
      <c r="H798" s="140">
        <v>2</v>
      </c>
      <c r="I798" s="140">
        <v>0.25911000000000001</v>
      </c>
      <c r="J798" s="140">
        <v>0.82052999999999998</v>
      </c>
      <c r="K798" s="140">
        <v>31.860800000000001</v>
      </c>
      <c r="L798" s="140">
        <v>39.478500000000004</v>
      </c>
    </row>
    <row r="799" spans="1:12" ht="31.5">
      <c r="A799" s="138" t="s">
        <v>3138</v>
      </c>
      <c r="B799" s="135" t="s">
        <v>3141</v>
      </c>
      <c r="C799" s="136" t="s">
        <v>1310</v>
      </c>
      <c r="D799" s="136" t="s">
        <v>1311</v>
      </c>
      <c r="E799" s="138" t="s">
        <v>1571</v>
      </c>
      <c r="F799" s="420">
        <v>43100</v>
      </c>
      <c r="G799" s="141">
        <v>335.71418</v>
      </c>
      <c r="H799" s="141">
        <v>1</v>
      </c>
      <c r="I799" s="142" t="s">
        <v>189</v>
      </c>
      <c r="J799" s="141">
        <v>1.0935999999999999</v>
      </c>
      <c r="K799" s="141">
        <v>73.965690000000009</v>
      </c>
      <c r="L799" s="141">
        <v>92.990320000000011</v>
      </c>
    </row>
    <row r="800" spans="1:12" ht="21">
      <c r="A800" s="136" t="s">
        <v>3140</v>
      </c>
      <c r="B800" s="137" t="s">
        <v>3143</v>
      </c>
      <c r="C800" s="138" t="s">
        <v>1290</v>
      </c>
      <c r="D800" s="138" t="s">
        <v>1266</v>
      </c>
      <c r="E800" s="136" t="s">
        <v>1571</v>
      </c>
      <c r="F800" s="419">
        <v>43100</v>
      </c>
      <c r="G800" s="140">
        <v>334.64689000000004</v>
      </c>
      <c r="H800" s="140">
        <v>5</v>
      </c>
      <c r="I800" s="140">
        <v>0.74199999999999999</v>
      </c>
      <c r="J800" s="140">
        <v>9.0845099999999999</v>
      </c>
      <c r="K800" s="140">
        <v>101.64390999999999</v>
      </c>
      <c r="L800" s="140">
        <v>119.75645</v>
      </c>
    </row>
    <row r="801" spans="1:12" ht="63">
      <c r="A801" s="138" t="s">
        <v>3142</v>
      </c>
      <c r="B801" s="135" t="s">
        <v>3145</v>
      </c>
      <c r="C801" s="136" t="s">
        <v>1355</v>
      </c>
      <c r="D801" s="136" t="s">
        <v>1341</v>
      </c>
      <c r="E801" s="138" t="s">
        <v>1571</v>
      </c>
      <c r="F801" s="420">
        <v>43100</v>
      </c>
      <c r="G801" s="141">
        <v>334.27249999999998</v>
      </c>
      <c r="H801" s="141">
        <v>6</v>
      </c>
      <c r="I801" s="142" t="s">
        <v>189</v>
      </c>
      <c r="J801" s="141">
        <v>3.8436400000000002</v>
      </c>
      <c r="K801" s="141">
        <v>123.33568000000001</v>
      </c>
      <c r="L801" s="141">
        <v>134.46355</v>
      </c>
    </row>
    <row r="802" spans="1:12" ht="31.5">
      <c r="A802" s="136" t="s">
        <v>3144</v>
      </c>
      <c r="B802" s="137" t="s">
        <v>3147</v>
      </c>
      <c r="C802" s="138" t="s">
        <v>1236</v>
      </c>
      <c r="D802" s="138" t="s">
        <v>1235</v>
      </c>
      <c r="E802" s="136" t="s">
        <v>1571</v>
      </c>
      <c r="F802" s="419">
        <v>43100</v>
      </c>
      <c r="G802" s="140">
        <v>332.44420000000002</v>
      </c>
      <c r="H802" s="140">
        <v>3</v>
      </c>
      <c r="I802" s="140">
        <v>0.26128999999999997</v>
      </c>
      <c r="J802" s="140">
        <v>1.0995999999999999</v>
      </c>
      <c r="K802" s="140">
        <v>120.14703999999999</v>
      </c>
      <c r="L802" s="140">
        <v>136.10428899999999</v>
      </c>
    </row>
    <row r="803" spans="1:12" ht="21">
      <c r="A803" s="138" t="s">
        <v>3146</v>
      </c>
      <c r="B803" s="135" t="s">
        <v>3149</v>
      </c>
      <c r="C803" s="136" t="s">
        <v>777</v>
      </c>
      <c r="D803" s="136" t="s">
        <v>778</v>
      </c>
      <c r="E803" s="138" t="s">
        <v>1571</v>
      </c>
      <c r="F803" s="420">
        <v>43100</v>
      </c>
      <c r="G803" s="141">
        <v>329.24445000000003</v>
      </c>
      <c r="H803" s="141">
        <v>2</v>
      </c>
      <c r="I803" s="141">
        <v>5.92455</v>
      </c>
      <c r="J803" s="141">
        <v>26.172129999999999</v>
      </c>
      <c r="K803" s="141">
        <v>119.42174</v>
      </c>
      <c r="L803" s="141">
        <v>173.84827000000001</v>
      </c>
    </row>
    <row r="804" spans="1:12" ht="21">
      <c r="A804" s="136" t="s">
        <v>3148</v>
      </c>
      <c r="B804" s="137" t="s">
        <v>3151</v>
      </c>
      <c r="C804" s="138" t="s">
        <v>1460</v>
      </c>
      <c r="D804" s="138" t="s">
        <v>1456</v>
      </c>
      <c r="E804" s="136" t="s">
        <v>1571</v>
      </c>
      <c r="F804" s="419">
        <v>43100</v>
      </c>
      <c r="G804" s="140">
        <v>327.87777</v>
      </c>
      <c r="H804" s="140">
        <v>1</v>
      </c>
      <c r="I804" s="140">
        <v>4.5539100000000001</v>
      </c>
      <c r="J804" s="140">
        <v>14.240410000000001</v>
      </c>
      <c r="K804" s="140">
        <v>25.657619999999998</v>
      </c>
      <c r="L804" s="140">
        <v>46.635919999999999</v>
      </c>
    </row>
    <row r="805" spans="1:12" ht="31.5">
      <c r="A805" s="138" t="s">
        <v>3150</v>
      </c>
      <c r="B805" s="135" t="s">
        <v>3153</v>
      </c>
      <c r="C805" s="136" t="s">
        <v>831</v>
      </c>
      <c r="D805" s="136" t="s">
        <v>1474</v>
      </c>
      <c r="E805" s="138" t="s">
        <v>1571</v>
      </c>
      <c r="F805" s="420">
        <v>43100</v>
      </c>
      <c r="G805" s="141">
        <v>327.82040000000001</v>
      </c>
      <c r="H805" s="141">
        <v>2</v>
      </c>
      <c r="I805" s="141">
        <v>12.497710000000001</v>
      </c>
      <c r="J805" s="141">
        <v>52.594540000000002</v>
      </c>
      <c r="K805" s="141">
        <v>209.32255000000001</v>
      </c>
      <c r="L805" s="141">
        <v>281.37970000000001</v>
      </c>
    </row>
    <row r="806" spans="1:12" ht="31.5">
      <c r="A806" s="136" t="s">
        <v>3152</v>
      </c>
      <c r="B806" s="139" t="s">
        <v>3155</v>
      </c>
      <c r="C806" s="138" t="s">
        <v>873</v>
      </c>
      <c r="D806" s="138" t="s">
        <v>811</v>
      </c>
      <c r="E806" s="136" t="s">
        <v>1571</v>
      </c>
      <c r="F806" s="419">
        <v>43100</v>
      </c>
      <c r="G806" s="140">
        <v>321.45321000000001</v>
      </c>
      <c r="H806" s="140">
        <v>2</v>
      </c>
      <c r="I806" s="140">
        <v>0.58130999999999999</v>
      </c>
      <c r="J806" s="140">
        <v>2.4463600000000003</v>
      </c>
      <c r="K806" s="140">
        <v>87.668329999999997</v>
      </c>
      <c r="L806" s="140">
        <v>99.998840000000001</v>
      </c>
    </row>
    <row r="807" spans="1:12" ht="21">
      <c r="A807" s="138" t="s">
        <v>3154</v>
      </c>
      <c r="B807" s="135" t="s">
        <v>3157</v>
      </c>
      <c r="C807" s="136" t="s">
        <v>1420</v>
      </c>
      <c r="D807" s="136" t="s">
        <v>1419</v>
      </c>
      <c r="E807" s="138" t="s">
        <v>1571</v>
      </c>
      <c r="F807" s="420">
        <v>40178</v>
      </c>
      <c r="G807" s="141">
        <v>321.32047000000006</v>
      </c>
      <c r="H807" s="141">
        <v>3</v>
      </c>
      <c r="I807" s="142" t="s">
        <v>189</v>
      </c>
      <c r="J807" s="141">
        <v>-50.485400000000006</v>
      </c>
      <c r="K807" s="141">
        <v>74.154479999999992</v>
      </c>
      <c r="L807" s="141">
        <v>73.330640000000002</v>
      </c>
    </row>
    <row r="808" spans="1:12" ht="42">
      <c r="A808" s="136" t="s">
        <v>3156</v>
      </c>
      <c r="B808" s="137" t="s">
        <v>3159</v>
      </c>
      <c r="C808" s="138" t="s">
        <v>1110</v>
      </c>
      <c r="D808" s="138" t="s">
        <v>969</v>
      </c>
      <c r="E808" s="136" t="s">
        <v>1571</v>
      </c>
      <c r="F808" s="419">
        <v>42369</v>
      </c>
      <c r="G808" s="140">
        <v>321.15941000000004</v>
      </c>
      <c r="H808" s="140">
        <v>4</v>
      </c>
      <c r="I808" s="143" t="s">
        <v>189</v>
      </c>
      <c r="J808" s="140">
        <v>-47.101589999999995</v>
      </c>
      <c r="K808" s="140">
        <v>154.78501</v>
      </c>
      <c r="L808" s="140">
        <v>137.69837000000001</v>
      </c>
    </row>
    <row r="809" spans="1:12">
      <c r="A809" s="138" t="s">
        <v>3158</v>
      </c>
      <c r="B809" s="421" t="s">
        <v>3161</v>
      </c>
      <c r="C809" s="136" t="s">
        <v>1549</v>
      </c>
      <c r="D809" s="136" t="s">
        <v>1279</v>
      </c>
      <c r="E809" s="138" t="s">
        <v>1571</v>
      </c>
      <c r="F809" s="420">
        <v>42004</v>
      </c>
      <c r="G809" s="141">
        <v>319.01082000000002</v>
      </c>
      <c r="H809" s="141">
        <v>4</v>
      </c>
      <c r="I809" s="142" t="s">
        <v>189</v>
      </c>
      <c r="J809" s="141">
        <v>2.5533100000000006</v>
      </c>
      <c r="K809" s="141">
        <v>116.60522999999999</v>
      </c>
      <c r="L809" s="141">
        <v>153.24616900000001</v>
      </c>
    </row>
    <row r="810" spans="1:12" ht="21">
      <c r="A810" s="136" t="s">
        <v>3160</v>
      </c>
      <c r="B810" s="137" t="s">
        <v>3163</v>
      </c>
      <c r="C810" s="138" t="s">
        <v>1532</v>
      </c>
      <c r="D810" s="138" t="s">
        <v>1279</v>
      </c>
      <c r="E810" s="136" t="s">
        <v>1571</v>
      </c>
      <c r="F810" s="419">
        <v>40908</v>
      </c>
      <c r="G810" s="140">
        <v>316.50246000000004</v>
      </c>
      <c r="H810" s="140">
        <v>2</v>
      </c>
      <c r="I810" s="140"/>
      <c r="J810" s="140">
        <v>-18.361470000000001</v>
      </c>
      <c r="K810" s="140">
        <v>118.51402</v>
      </c>
      <c r="L810" s="140">
        <v>105.80834</v>
      </c>
    </row>
    <row r="811" spans="1:12" ht="21">
      <c r="A811" s="138" t="s">
        <v>3162</v>
      </c>
      <c r="B811" s="135" t="s">
        <v>3165</v>
      </c>
      <c r="C811" s="136" t="s">
        <v>1418</v>
      </c>
      <c r="D811" s="136" t="s">
        <v>1419</v>
      </c>
      <c r="E811" s="138" t="s">
        <v>1571</v>
      </c>
      <c r="F811" s="420">
        <v>43100</v>
      </c>
      <c r="G811" s="141">
        <v>316.17846000000003</v>
      </c>
      <c r="H811" s="141">
        <v>3</v>
      </c>
      <c r="I811" s="142" t="s">
        <v>189</v>
      </c>
      <c r="J811" s="141">
        <v>0.15012</v>
      </c>
      <c r="K811" s="141">
        <v>118.85347</v>
      </c>
      <c r="L811" s="141">
        <v>120.54326900000001</v>
      </c>
    </row>
    <row r="812" spans="1:12" ht="31.5">
      <c r="A812" s="136" t="s">
        <v>3164</v>
      </c>
      <c r="B812" s="137" t="s">
        <v>3167</v>
      </c>
      <c r="C812" s="138" t="s">
        <v>680</v>
      </c>
      <c r="D812" s="138" t="s">
        <v>681</v>
      </c>
      <c r="E812" s="136" t="s">
        <v>1571</v>
      </c>
      <c r="F812" s="419">
        <v>43100</v>
      </c>
      <c r="G812" s="140">
        <v>316.0643</v>
      </c>
      <c r="H812" s="140">
        <v>3</v>
      </c>
      <c r="I812" s="140">
        <v>0.56380999999999992</v>
      </c>
      <c r="J812" s="140">
        <v>3.3314300000000006</v>
      </c>
      <c r="K812" s="140">
        <v>63.979469999999999</v>
      </c>
      <c r="L812" s="140">
        <v>68.418139999999994</v>
      </c>
    </row>
    <row r="813" spans="1:12" ht="31.5">
      <c r="A813" s="138" t="s">
        <v>3166</v>
      </c>
      <c r="B813" s="135" t="s">
        <v>3169</v>
      </c>
      <c r="C813" s="136" t="s">
        <v>986</v>
      </c>
      <c r="D813" s="136" t="s">
        <v>975</v>
      </c>
      <c r="E813" s="138" t="s">
        <v>1571</v>
      </c>
      <c r="F813" s="420">
        <v>43100</v>
      </c>
      <c r="G813" s="141">
        <v>316.02902</v>
      </c>
      <c r="H813" s="141">
        <v>4</v>
      </c>
      <c r="I813" s="142" t="s">
        <v>189</v>
      </c>
      <c r="J813" s="141">
        <v>2.7500900000000001</v>
      </c>
      <c r="K813" s="141">
        <v>101.34545999999999</v>
      </c>
      <c r="L813" s="141">
        <v>116.79678</v>
      </c>
    </row>
    <row r="814" spans="1:12" ht="42">
      <c r="A814" s="136" t="s">
        <v>3168</v>
      </c>
      <c r="B814" s="137" t="s">
        <v>3171</v>
      </c>
      <c r="C814" s="138" t="s">
        <v>837</v>
      </c>
      <c r="D814" s="138" t="s">
        <v>811</v>
      </c>
      <c r="E814" s="136" t="s">
        <v>1571</v>
      </c>
      <c r="F814" s="419">
        <v>43100</v>
      </c>
      <c r="G814" s="140">
        <v>313.75322000000006</v>
      </c>
      <c r="H814" s="140">
        <v>6</v>
      </c>
      <c r="I814" s="143" t="s">
        <v>189</v>
      </c>
      <c r="J814" s="140">
        <v>1.3485</v>
      </c>
      <c r="K814" s="140">
        <v>107.4342</v>
      </c>
      <c r="L814" s="140">
        <v>109.00078999999999</v>
      </c>
    </row>
    <row r="815" spans="1:12">
      <c r="A815" s="138" t="s">
        <v>3170</v>
      </c>
      <c r="B815" s="421" t="s">
        <v>3173</v>
      </c>
      <c r="C815" s="136" t="s">
        <v>958</v>
      </c>
      <c r="D815" s="136" t="s">
        <v>811</v>
      </c>
      <c r="E815" s="138" t="s">
        <v>1571</v>
      </c>
      <c r="F815" s="420">
        <v>43100</v>
      </c>
      <c r="G815" s="141">
        <v>312.83595000000003</v>
      </c>
      <c r="H815" s="141">
        <v>2</v>
      </c>
      <c r="I815" s="141">
        <v>1.0062200000000001</v>
      </c>
      <c r="J815" s="141">
        <v>3.6560600000000001</v>
      </c>
      <c r="K815" s="141">
        <v>42.247279999999996</v>
      </c>
      <c r="L815" s="141">
        <v>49.859029999999997</v>
      </c>
    </row>
    <row r="816" spans="1:12" ht="21">
      <c r="A816" s="136" t="s">
        <v>3172</v>
      </c>
      <c r="B816" s="137" t="s">
        <v>3175</v>
      </c>
      <c r="C816" s="138" t="s">
        <v>916</v>
      </c>
      <c r="D816" s="138" t="s">
        <v>811</v>
      </c>
      <c r="E816" s="136" t="s">
        <v>1571</v>
      </c>
      <c r="F816" s="419">
        <v>42004</v>
      </c>
      <c r="G816" s="140">
        <v>310.23651900000004</v>
      </c>
      <c r="H816" s="140">
        <v>9</v>
      </c>
      <c r="I816" s="140">
        <v>3.9088100000000003</v>
      </c>
      <c r="J816" s="140">
        <v>0.59490999999999994</v>
      </c>
      <c r="K816" s="140">
        <v>194.85429999999999</v>
      </c>
      <c r="L816" s="140">
        <v>202.31467900000001</v>
      </c>
    </row>
    <row r="817" spans="1:12" ht="42">
      <c r="A817" s="138" t="s">
        <v>3174</v>
      </c>
      <c r="B817" s="135" t="s">
        <v>3177</v>
      </c>
      <c r="C817" s="136" t="s">
        <v>1445</v>
      </c>
      <c r="D817" s="136" t="s">
        <v>1429</v>
      </c>
      <c r="E817" s="138" t="s">
        <v>1571</v>
      </c>
      <c r="F817" s="420">
        <v>37621</v>
      </c>
      <c r="G817" s="141">
        <v>308.01994999999999</v>
      </c>
      <c r="H817" s="141">
        <v>5</v>
      </c>
      <c r="I817" s="142" t="s">
        <v>189</v>
      </c>
      <c r="J817" s="141">
        <v>-0.79142999999999997</v>
      </c>
      <c r="K817" s="141">
        <v>68.176180000000002</v>
      </c>
      <c r="L817" s="141">
        <v>69.22175</v>
      </c>
    </row>
    <row r="818" spans="1:12">
      <c r="A818" s="136" t="s">
        <v>3176</v>
      </c>
      <c r="B818" s="137" t="s">
        <v>3179</v>
      </c>
      <c r="C818" s="138" t="s">
        <v>1453</v>
      </c>
      <c r="D818" s="138" t="s">
        <v>1456</v>
      </c>
      <c r="E818" s="136" t="s">
        <v>1571</v>
      </c>
      <c r="F818" s="419">
        <v>43100</v>
      </c>
      <c r="G818" s="140">
        <v>307.70514900000001</v>
      </c>
      <c r="H818" s="140">
        <v>9</v>
      </c>
      <c r="I818" s="140">
        <v>5.2359</v>
      </c>
      <c r="J818" s="140">
        <v>16.580367000000003</v>
      </c>
      <c r="K818" s="140">
        <v>235.68312</v>
      </c>
      <c r="L818" s="140">
        <v>263.71187699999996</v>
      </c>
    </row>
    <row r="819" spans="1:12" ht="52.5">
      <c r="A819" s="138" t="s">
        <v>3178</v>
      </c>
      <c r="B819" s="135" t="s">
        <v>3181</v>
      </c>
      <c r="C819" s="136" t="s">
        <v>1472</v>
      </c>
      <c r="D819" s="136" t="s">
        <v>1461</v>
      </c>
      <c r="E819" s="138" t="s">
        <v>1571</v>
      </c>
      <c r="F819" s="420">
        <v>43100</v>
      </c>
      <c r="G819" s="141">
        <v>307.24264999999997</v>
      </c>
      <c r="H819" s="141">
        <v>3</v>
      </c>
      <c r="I819" s="141">
        <v>18.84224</v>
      </c>
      <c r="J819" s="141">
        <v>59.478659999999998</v>
      </c>
      <c r="K819" s="141">
        <v>104.22103</v>
      </c>
      <c r="L819" s="141">
        <v>252.955949</v>
      </c>
    </row>
    <row r="820" spans="1:12" ht="31.5">
      <c r="A820" s="136" t="s">
        <v>3180</v>
      </c>
      <c r="B820" s="137" t="s">
        <v>3183</v>
      </c>
      <c r="C820" s="138" t="s">
        <v>638</v>
      </c>
      <c r="D820" s="138" t="s">
        <v>1972</v>
      </c>
      <c r="E820" s="136" t="s">
        <v>1571</v>
      </c>
      <c r="F820" s="419">
        <v>43100</v>
      </c>
      <c r="G820" s="140">
        <v>305.0308</v>
      </c>
      <c r="H820" s="140">
        <v>1</v>
      </c>
      <c r="I820" s="143" t="s">
        <v>189</v>
      </c>
      <c r="J820" s="140">
        <v>-64.165289999999999</v>
      </c>
      <c r="K820" s="140">
        <v>59.093000000000004</v>
      </c>
      <c r="L820" s="140">
        <v>-0.12684000000000001</v>
      </c>
    </row>
    <row r="821" spans="1:12" ht="42">
      <c r="A821" s="138" t="s">
        <v>3182</v>
      </c>
      <c r="B821" s="135" t="s">
        <v>3185</v>
      </c>
      <c r="C821" s="136" t="s">
        <v>1427</v>
      </c>
      <c r="D821" s="136" t="s">
        <v>1419</v>
      </c>
      <c r="E821" s="138" t="s">
        <v>1571</v>
      </c>
      <c r="F821" s="420">
        <v>43100</v>
      </c>
      <c r="G821" s="141">
        <v>298.20308</v>
      </c>
      <c r="H821" s="141">
        <v>4</v>
      </c>
      <c r="I821" s="141">
        <v>2.1515599999999999</v>
      </c>
      <c r="J821" s="141">
        <v>9.0544799999999999</v>
      </c>
      <c r="K821" s="141">
        <v>71.413899999999998</v>
      </c>
      <c r="L821" s="141">
        <v>85.416139000000015</v>
      </c>
    </row>
    <row r="822" spans="1:12" ht="21">
      <c r="A822" s="136" t="s">
        <v>3184</v>
      </c>
      <c r="B822" s="137" t="s">
        <v>3187</v>
      </c>
      <c r="C822" s="138" t="s">
        <v>1151</v>
      </c>
      <c r="D822" s="138" t="s">
        <v>1145</v>
      </c>
      <c r="E822" s="136" t="s">
        <v>1571</v>
      </c>
      <c r="F822" s="419">
        <v>43100</v>
      </c>
      <c r="G822" s="140">
        <v>297.83411999999998</v>
      </c>
      <c r="H822" s="140">
        <v>6</v>
      </c>
      <c r="I822" s="140"/>
      <c r="J822" s="140">
        <v>-5.6098100000000004</v>
      </c>
      <c r="K822" s="140">
        <v>133.800579</v>
      </c>
      <c r="L822" s="140">
        <v>135.991219</v>
      </c>
    </row>
    <row r="823" spans="1:12" ht="31.5">
      <c r="A823" s="138" t="s">
        <v>3186</v>
      </c>
      <c r="B823" s="135" t="s">
        <v>3189</v>
      </c>
      <c r="C823" s="136" t="s">
        <v>1043</v>
      </c>
      <c r="D823" s="136" t="s">
        <v>971</v>
      </c>
      <c r="E823" s="138" t="s">
        <v>1571</v>
      </c>
      <c r="F823" s="420">
        <v>43100</v>
      </c>
      <c r="G823" s="141">
        <v>295.11075</v>
      </c>
      <c r="H823" s="141">
        <v>2</v>
      </c>
      <c r="I823" s="141">
        <v>0.18653999999999998</v>
      </c>
      <c r="J823" s="141">
        <v>7.4047200000000002</v>
      </c>
      <c r="K823" s="141">
        <v>49.891040000000004</v>
      </c>
      <c r="L823" s="141">
        <v>58.670659999999998</v>
      </c>
    </row>
    <row r="824" spans="1:12" ht="21">
      <c r="A824" s="136" t="s">
        <v>3188</v>
      </c>
      <c r="B824" s="137" t="s">
        <v>3191</v>
      </c>
      <c r="C824" s="138" t="s">
        <v>1076</v>
      </c>
      <c r="D824" s="138" t="s">
        <v>969</v>
      </c>
      <c r="E824" s="136" t="s">
        <v>1571</v>
      </c>
      <c r="F824" s="419">
        <v>43100</v>
      </c>
      <c r="G824" s="140">
        <v>294.34793000000008</v>
      </c>
      <c r="H824" s="140">
        <v>2</v>
      </c>
      <c r="I824" s="140"/>
      <c r="J824" s="140">
        <v>-9.6285000000000007</v>
      </c>
      <c r="K824" s="140">
        <v>68.701870000000014</v>
      </c>
      <c r="L824" s="140">
        <v>73.707768999999999</v>
      </c>
    </row>
    <row r="825" spans="1:12" ht="31.5">
      <c r="A825" s="138" t="s">
        <v>3190</v>
      </c>
      <c r="B825" s="135" t="s">
        <v>3193</v>
      </c>
      <c r="C825" s="136" t="s">
        <v>947</v>
      </c>
      <c r="D825" s="136" t="s">
        <v>811</v>
      </c>
      <c r="E825" s="138" t="s">
        <v>1571</v>
      </c>
      <c r="F825" s="420">
        <v>43100</v>
      </c>
      <c r="G825" s="141">
        <v>289.88242000000002</v>
      </c>
      <c r="H825" s="141">
        <v>4</v>
      </c>
      <c r="I825" s="141">
        <v>2.3058900000000002</v>
      </c>
      <c r="J825" s="141">
        <v>3.7156400000000001</v>
      </c>
      <c r="K825" s="141">
        <v>147.14847</v>
      </c>
      <c r="L825" s="141">
        <v>166.33059</v>
      </c>
    </row>
    <row r="826" spans="1:12" ht="21">
      <c r="A826" s="136" t="s">
        <v>3192</v>
      </c>
      <c r="B826" s="137" t="s">
        <v>3195</v>
      </c>
      <c r="C826" s="138" t="s">
        <v>608</v>
      </c>
      <c r="D826" s="138" t="s">
        <v>596</v>
      </c>
      <c r="E826" s="136" t="s">
        <v>1571</v>
      </c>
      <c r="F826" s="419">
        <v>43100</v>
      </c>
      <c r="G826" s="140">
        <v>285.85840000000002</v>
      </c>
      <c r="H826" s="140">
        <v>7</v>
      </c>
      <c r="I826" s="143" t="s">
        <v>189</v>
      </c>
      <c r="J826" s="140">
        <v>-7.5078500000000004</v>
      </c>
      <c r="K826" s="140">
        <v>207.21899999999999</v>
      </c>
      <c r="L826" s="140">
        <v>205.17246</v>
      </c>
    </row>
    <row r="827" spans="1:12">
      <c r="A827" s="138" t="s">
        <v>3194</v>
      </c>
      <c r="B827" s="135" t="s">
        <v>3197</v>
      </c>
      <c r="C827" s="136" t="s">
        <v>636</v>
      </c>
      <c r="D827" s="136" t="s">
        <v>1972</v>
      </c>
      <c r="E827" s="138" t="s">
        <v>1571</v>
      </c>
      <c r="F827" s="420">
        <v>43100</v>
      </c>
      <c r="G827" s="141">
        <v>280.15267999999998</v>
      </c>
      <c r="H827" s="141">
        <v>4</v>
      </c>
      <c r="I827" s="141">
        <v>1.7036699999999998</v>
      </c>
      <c r="J827" s="141">
        <v>41.834830000000004</v>
      </c>
      <c r="K827" s="141">
        <v>127.48245999999999</v>
      </c>
      <c r="L827" s="141">
        <v>202.12460000000002</v>
      </c>
    </row>
    <row r="828" spans="1:12" ht="21">
      <c r="A828" s="136" t="s">
        <v>3196</v>
      </c>
      <c r="B828" s="137" t="s">
        <v>3199</v>
      </c>
      <c r="C828" s="138" t="s">
        <v>643</v>
      </c>
      <c r="D828" s="138" t="s">
        <v>811</v>
      </c>
      <c r="E828" s="136" t="s">
        <v>1571</v>
      </c>
      <c r="F828" s="419">
        <v>43100</v>
      </c>
      <c r="G828" s="140">
        <v>278.73439000000002</v>
      </c>
      <c r="H828" s="140">
        <v>3</v>
      </c>
      <c r="I828" s="140">
        <v>2.8066</v>
      </c>
      <c r="J828" s="140">
        <v>23.771060000000002</v>
      </c>
      <c r="K828" s="140">
        <v>69.581299999999999</v>
      </c>
      <c r="L828" s="140">
        <v>98.054370000000006</v>
      </c>
    </row>
    <row r="829" spans="1:12" ht="21">
      <c r="A829" s="138" t="s">
        <v>3198</v>
      </c>
      <c r="B829" s="135" t="s">
        <v>3201</v>
      </c>
      <c r="C829" s="136" t="s">
        <v>1211</v>
      </c>
      <c r="D829" s="136" t="s">
        <v>1208</v>
      </c>
      <c r="E829" s="138" t="s">
        <v>1571</v>
      </c>
      <c r="F829" s="420">
        <v>43100</v>
      </c>
      <c r="G829" s="141">
        <v>278.41343000000006</v>
      </c>
      <c r="H829" s="141">
        <v>1</v>
      </c>
      <c r="I829" s="142" t="s">
        <v>189</v>
      </c>
      <c r="J829" s="141">
        <v>0.10046000000000001</v>
      </c>
      <c r="K829" s="141">
        <v>48.025910000000003</v>
      </c>
      <c r="L829" s="141">
        <v>56.335270000000001</v>
      </c>
    </row>
    <row r="830" spans="1:12" ht="21">
      <c r="A830" s="136" t="s">
        <v>3200</v>
      </c>
      <c r="B830" s="137" t="s">
        <v>3203</v>
      </c>
      <c r="C830" s="138" t="s">
        <v>651</v>
      </c>
      <c r="D830" s="138" t="s">
        <v>673</v>
      </c>
      <c r="E830" s="136" t="s">
        <v>1571</v>
      </c>
      <c r="F830" s="419">
        <v>43100</v>
      </c>
      <c r="G830" s="140">
        <v>276.92696000000001</v>
      </c>
      <c r="H830" s="140">
        <v>2</v>
      </c>
      <c r="I830" s="143" t="s">
        <v>189</v>
      </c>
      <c r="J830" s="140">
        <v>-33.429499999999997</v>
      </c>
      <c r="K830" s="140">
        <v>77.992709999999988</v>
      </c>
      <c r="L830" s="140">
        <v>53.700670000000002</v>
      </c>
    </row>
    <row r="831" spans="1:12">
      <c r="A831" s="138" t="s">
        <v>3202</v>
      </c>
      <c r="B831" s="135" t="s">
        <v>3205</v>
      </c>
      <c r="C831" s="136" t="s">
        <v>1539</v>
      </c>
      <c r="D831" s="136" t="s">
        <v>1279</v>
      </c>
      <c r="E831" s="138" t="s">
        <v>1571</v>
      </c>
      <c r="F831" s="420">
        <v>42369</v>
      </c>
      <c r="G831" s="141">
        <v>276.10266999999999</v>
      </c>
      <c r="H831" s="141">
        <v>3</v>
      </c>
      <c r="I831" s="142" t="s">
        <v>189</v>
      </c>
      <c r="J831" s="141">
        <v>18.399450000000002</v>
      </c>
      <c r="K831" s="141">
        <v>112.36361000000001</v>
      </c>
      <c r="L831" s="141">
        <v>144.49355</v>
      </c>
    </row>
    <row r="832" spans="1:12" ht="21">
      <c r="A832" s="136" t="s">
        <v>3204</v>
      </c>
      <c r="B832" s="137" t="s">
        <v>3207</v>
      </c>
      <c r="C832" s="138" t="s">
        <v>1552</v>
      </c>
      <c r="D832" s="138" t="s">
        <v>1279</v>
      </c>
      <c r="E832" s="136" t="s">
        <v>1571</v>
      </c>
      <c r="F832" s="419">
        <v>43100</v>
      </c>
      <c r="G832" s="140">
        <v>272.43477000000001</v>
      </c>
      <c r="H832" s="140">
        <v>4</v>
      </c>
      <c r="I832" s="140"/>
      <c r="J832" s="140">
        <v>6.7933100000000008</v>
      </c>
      <c r="K832" s="140">
        <v>120.37326</v>
      </c>
      <c r="L832" s="140">
        <v>132.661509</v>
      </c>
    </row>
    <row r="833" spans="1:12" ht="52.5">
      <c r="A833" s="138" t="s">
        <v>3206</v>
      </c>
      <c r="B833" s="135" t="s">
        <v>3209</v>
      </c>
      <c r="C833" s="136" t="s">
        <v>860</v>
      </c>
      <c r="D833" s="136" t="s">
        <v>811</v>
      </c>
      <c r="E833" s="138" t="s">
        <v>1571</v>
      </c>
      <c r="F833" s="420">
        <v>42735</v>
      </c>
      <c r="G833" s="141">
        <v>270.90962000000002</v>
      </c>
      <c r="H833" s="141">
        <v>3</v>
      </c>
      <c r="I833" s="141">
        <v>28.449210000000001</v>
      </c>
      <c r="J833" s="141">
        <v>184.34634999999997</v>
      </c>
      <c r="K833" s="141">
        <v>112.55764000000001</v>
      </c>
      <c r="L833" s="141">
        <v>340.62613999999996</v>
      </c>
    </row>
    <row r="834" spans="1:12" ht="52.5">
      <c r="A834" s="136" t="s">
        <v>3208</v>
      </c>
      <c r="B834" s="137" t="s">
        <v>3211</v>
      </c>
      <c r="C834" s="138" t="s">
        <v>1243</v>
      </c>
      <c r="D834" s="138" t="s">
        <v>1235</v>
      </c>
      <c r="E834" s="136" t="s">
        <v>1571</v>
      </c>
      <c r="F834" s="419">
        <v>43100</v>
      </c>
      <c r="G834" s="140">
        <v>270.51206999999999</v>
      </c>
      <c r="H834" s="140">
        <v>2</v>
      </c>
      <c r="I834" s="143" t="s">
        <v>189</v>
      </c>
      <c r="J834" s="140">
        <v>50.127589999999998</v>
      </c>
      <c r="K834" s="140">
        <v>96.864439999999988</v>
      </c>
      <c r="L834" s="140">
        <v>150.63487000000001</v>
      </c>
    </row>
    <row r="835" spans="1:12" ht="31.5">
      <c r="A835" s="138" t="s">
        <v>3210</v>
      </c>
      <c r="B835" s="421" t="s">
        <v>3213</v>
      </c>
      <c r="C835" s="136" t="s">
        <v>1002</v>
      </c>
      <c r="D835" s="136" t="s">
        <v>975</v>
      </c>
      <c r="E835" s="138" t="s">
        <v>1571</v>
      </c>
      <c r="F835" s="420">
        <v>43100</v>
      </c>
      <c r="G835" s="141">
        <v>267.11563000000001</v>
      </c>
      <c r="H835" s="141">
        <v>3</v>
      </c>
      <c r="I835" s="141">
        <v>0.71682999999999997</v>
      </c>
      <c r="J835" s="141">
        <v>0.86187000000000002</v>
      </c>
      <c r="K835" s="141">
        <v>117.91051</v>
      </c>
      <c r="L835" s="141">
        <v>123.380409</v>
      </c>
    </row>
    <row r="836" spans="1:12" ht="31.5">
      <c r="A836" s="136" t="s">
        <v>3212</v>
      </c>
      <c r="B836" s="137" t="s">
        <v>3215</v>
      </c>
      <c r="C836" s="138" t="s">
        <v>1545</v>
      </c>
      <c r="D836" s="138" t="s">
        <v>1279</v>
      </c>
      <c r="E836" s="136" t="s">
        <v>1571</v>
      </c>
      <c r="F836" s="419">
        <v>43100</v>
      </c>
      <c r="G836" s="140">
        <v>261.69626</v>
      </c>
      <c r="H836" s="140">
        <v>1</v>
      </c>
      <c r="I836" s="140"/>
      <c r="J836" s="140">
        <v>106.93064</v>
      </c>
      <c r="K836" s="140">
        <v>63.366630000000001</v>
      </c>
      <c r="L836" s="140">
        <v>39.278879000000003</v>
      </c>
    </row>
    <row r="837" spans="1:12" ht="52.5">
      <c r="A837" s="138" t="s">
        <v>3214</v>
      </c>
      <c r="B837" s="135" t="s">
        <v>3217</v>
      </c>
      <c r="C837" s="136" t="s">
        <v>1213</v>
      </c>
      <c r="D837" s="136" t="s">
        <v>1215</v>
      </c>
      <c r="E837" s="138" t="s">
        <v>1571</v>
      </c>
      <c r="F837" s="420">
        <v>43100</v>
      </c>
      <c r="G837" s="141">
        <v>259.15262999999999</v>
      </c>
      <c r="H837" s="141">
        <v>2</v>
      </c>
      <c r="I837" s="142" t="s">
        <v>189</v>
      </c>
      <c r="J837" s="141">
        <v>-35.623619999999995</v>
      </c>
      <c r="K837" s="141">
        <v>85.308790000000002</v>
      </c>
      <c r="L837" s="141">
        <v>51.934159000000001</v>
      </c>
    </row>
    <row r="838" spans="1:12" ht="21">
      <c r="A838" s="136" t="s">
        <v>3216</v>
      </c>
      <c r="B838" s="137" t="s">
        <v>3219</v>
      </c>
      <c r="C838" s="138" t="s">
        <v>1318</v>
      </c>
      <c r="D838" s="138" t="s">
        <v>1316</v>
      </c>
      <c r="E838" s="136" t="s">
        <v>1571</v>
      </c>
      <c r="F838" s="419">
        <v>43100</v>
      </c>
      <c r="G838" s="140">
        <v>257.83008999999998</v>
      </c>
      <c r="H838" s="140">
        <v>2</v>
      </c>
      <c r="I838" s="140"/>
      <c r="J838" s="140">
        <v>-1.8271199999999999</v>
      </c>
      <c r="K838" s="140">
        <v>47.79636</v>
      </c>
      <c r="L838" s="140">
        <v>47.306820000000002</v>
      </c>
    </row>
    <row r="839" spans="1:12" ht="21">
      <c r="A839" s="138" t="s">
        <v>3218</v>
      </c>
      <c r="B839" s="135" t="s">
        <v>3221</v>
      </c>
      <c r="C839" s="136" t="s">
        <v>915</v>
      </c>
      <c r="D839" s="136" t="s">
        <v>811</v>
      </c>
      <c r="E839" s="138" t="s">
        <v>1571</v>
      </c>
      <c r="F839" s="420">
        <v>43100</v>
      </c>
      <c r="G839" s="141">
        <v>253.36668</v>
      </c>
      <c r="H839" s="141">
        <v>3</v>
      </c>
      <c r="I839" s="142" t="s">
        <v>189</v>
      </c>
      <c r="J839" s="141">
        <v>-16.43657</v>
      </c>
      <c r="K839" s="141">
        <v>138.37829000000002</v>
      </c>
      <c r="L839" s="141">
        <v>122.13766000000001</v>
      </c>
    </row>
    <row r="840" spans="1:12" ht="42">
      <c r="A840" s="136" t="s">
        <v>3220</v>
      </c>
      <c r="B840" s="139" t="s">
        <v>3223</v>
      </c>
      <c r="C840" s="138" t="s">
        <v>1104</v>
      </c>
      <c r="D840" s="138" t="s">
        <v>1461</v>
      </c>
      <c r="E840" s="136" t="s">
        <v>1571</v>
      </c>
      <c r="F840" s="419">
        <v>43100</v>
      </c>
      <c r="G840" s="140">
        <v>251.77814000000001</v>
      </c>
      <c r="H840" s="140">
        <v>3</v>
      </c>
      <c r="I840" s="143" t="s">
        <v>189</v>
      </c>
      <c r="J840" s="140">
        <v>1.02504</v>
      </c>
      <c r="K840" s="140">
        <v>67.74260000000001</v>
      </c>
      <c r="L840" s="140">
        <v>68.829750000000004</v>
      </c>
    </row>
    <row r="841" spans="1:12" ht="31.5">
      <c r="A841" s="138" t="s">
        <v>3222</v>
      </c>
      <c r="B841" s="135" t="s">
        <v>3225</v>
      </c>
      <c r="C841" s="136" t="s">
        <v>1061</v>
      </c>
      <c r="D841" s="136" t="s">
        <v>971</v>
      </c>
      <c r="E841" s="138" t="s">
        <v>1571</v>
      </c>
      <c r="F841" s="420">
        <v>43100</v>
      </c>
      <c r="G841" s="141">
        <v>246.36151000000001</v>
      </c>
      <c r="H841" s="141">
        <v>1</v>
      </c>
      <c r="I841" s="142" t="s">
        <v>189</v>
      </c>
      <c r="J841" s="141">
        <v>-20.443099999999998</v>
      </c>
      <c r="K841" s="141">
        <v>119.95502</v>
      </c>
      <c r="L841" s="141">
        <v>107.30383</v>
      </c>
    </row>
    <row r="842" spans="1:12">
      <c r="A842" s="136" t="s">
        <v>3224</v>
      </c>
      <c r="B842" s="137" t="s">
        <v>3227</v>
      </c>
      <c r="C842" s="138" t="s">
        <v>1166</v>
      </c>
      <c r="D842" s="138" t="s">
        <v>1156</v>
      </c>
      <c r="E842" s="136" t="s">
        <v>1571</v>
      </c>
      <c r="F842" s="419">
        <v>43100</v>
      </c>
      <c r="G842" s="140">
        <v>245.89142999999999</v>
      </c>
      <c r="H842" s="140">
        <v>2</v>
      </c>
      <c r="I842" s="140">
        <v>3.4218200000000003</v>
      </c>
      <c r="J842" s="140">
        <v>14.40015</v>
      </c>
      <c r="K842" s="140">
        <v>115.19564</v>
      </c>
      <c r="L842" s="140">
        <v>138.557659</v>
      </c>
    </row>
    <row r="843" spans="1:12" ht="31.5">
      <c r="A843" s="138" t="s">
        <v>3226</v>
      </c>
      <c r="B843" s="135" t="s">
        <v>3229</v>
      </c>
      <c r="C843" s="136" t="s">
        <v>1516</v>
      </c>
      <c r="D843" s="136" t="s">
        <v>1501</v>
      </c>
      <c r="E843" s="138" t="s">
        <v>1571</v>
      </c>
      <c r="F843" s="420">
        <v>42947</v>
      </c>
      <c r="G843" s="141">
        <v>245.56709000000001</v>
      </c>
      <c r="H843" s="141">
        <v>2</v>
      </c>
      <c r="I843" s="141"/>
      <c r="J843" s="141">
        <v>42.925150000000002</v>
      </c>
      <c r="K843" s="141">
        <v>83.077709999999996</v>
      </c>
      <c r="L843" s="141">
        <v>131.44020900000001</v>
      </c>
    </row>
    <row r="844" spans="1:12" ht="31.5">
      <c r="A844" s="136" t="s">
        <v>3228</v>
      </c>
      <c r="B844" s="137" t="s">
        <v>3231</v>
      </c>
      <c r="C844" s="138" t="s">
        <v>1161</v>
      </c>
      <c r="D844" s="138" t="s">
        <v>1156</v>
      </c>
      <c r="E844" s="136" t="s">
        <v>1571</v>
      </c>
      <c r="F844" s="419">
        <v>43100</v>
      </c>
      <c r="G844" s="140">
        <v>244.55629999999999</v>
      </c>
      <c r="H844" s="140">
        <v>2</v>
      </c>
      <c r="I844" s="140">
        <v>1.01095</v>
      </c>
      <c r="J844" s="140">
        <v>4.2544299999999993</v>
      </c>
      <c r="K844" s="140">
        <v>43.659840000000003</v>
      </c>
      <c r="L844" s="140">
        <v>51.241898999999997</v>
      </c>
    </row>
    <row r="845" spans="1:12">
      <c r="A845" s="138" t="s">
        <v>3230</v>
      </c>
      <c r="B845" s="135" t="s">
        <v>3233</v>
      </c>
      <c r="C845" s="136" t="s">
        <v>1033</v>
      </c>
      <c r="D845" s="136" t="s">
        <v>1112</v>
      </c>
      <c r="E845" s="138" t="s">
        <v>1571</v>
      </c>
      <c r="F845" s="420">
        <v>43100</v>
      </c>
      <c r="G845" s="141">
        <v>239.47066000000001</v>
      </c>
      <c r="H845" s="141">
        <v>4</v>
      </c>
      <c r="I845" s="142" t="s">
        <v>189</v>
      </c>
      <c r="J845" s="141">
        <v>-15.50488</v>
      </c>
      <c r="K845" s="141">
        <v>104.60171</v>
      </c>
      <c r="L845" s="141">
        <v>103.20264</v>
      </c>
    </row>
    <row r="846" spans="1:12" ht="21">
      <c r="A846" s="136" t="s">
        <v>3232</v>
      </c>
      <c r="B846" s="137" t="s">
        <v>3235</v>
      </c>
      <c r="C846" s="138" t="s">
        <v>868</v>
      </c>
      <c r="D846" s="138" t="s">
        <v>811</v>
      </c>
      <c r="E846" s="136" t="s">
        <v>1571</v>
      </c>
      <c r="F846" s="419">
        <v>42735</v>
      </c>
      <c r="G846" s="140">
        <v>227.56939</v>
      </c>
      <c r="H846" s="140">
        <v>3</v>
      </c>
      <c r="I846" s="143" t="s">
        <v>189</v>
      </c>
      <c r="J846" s="140">
        <v>30.54945</v>
      </c>
      <c r="K846" s="140">
        <v>72.225650000000016</v>
      </c>
      <c r="L846" s="140">
        <v>104.21487000000002</v>
      </c>
    </row>
    <row r="847" spans="1:12" ht="42">
      <c r="A847" s="138" t="s">
        <v>3234</v>
      </c>
      <c r="B847" s="135" t="s">
        <v>3237</v>
      </c>
      <c r="C847" s="136" t="s">
        <v>885</v>
      </c>
      <c r="D847" s="136" t="s">
        <v>811</v>
      </c>
      <c r="E847" s="138" t="s">
        <v>1571</v>
      </c>
      <c r="F847" s="420">
        <v>42004</v>
      </c>
      <c r="G847" s="141">
        <v>221.82617000000002</v>
      </c>
      <c r="H847" s="141">
        <v>3</v>
      </c>
      <c r="I847" s="141"/>
      <c r="J847" s="141">
        <v>-22.67277</v>
      </c>
      <c r="K847" s="141">
        <v>59.255000000000003</v>
      </c>
      <c r="L847" s="141">
        <v>31.041920000000001</v>
      </c>
    </row>
    <row r="848" spans="1:12" ht="21">
      <c r="A848" s="136" t="s">
        <v>3236</v>
      </c>
      <c r="B848" s="137" t="s">
        <v>3239</v>
      </c>
      <c r="C848" s="138" t="s">
        <v>1416</v>
      </c>
      <c r="D848" s="138" t="s">
        <v>1415</v>
      </c>
      <c r="E848" s="136" t="s">
        <v>1571</v>
      </c>
      <c r="F848" s="419">
        <v>43100</v>
      </c>
      <c r="G848" s="140">
        <v>219.05444</v>
      </c>
      <c r="H848" s="140">
        <v>1</v>
      </c>
      <c r="I848" s="143" t="s">
        <v>189</v>
      </c>
      <c r="J848" s="140">
        <v>1.4494100000000001</v>
      </c>
      <c r="K848" s="140">
        <v>44.214019999999998</v>
      </c>
      <c r="L848" s="140">
        <v>46.880710000000001</v>
      </c>
    </row>
    <row r="849" spans="1:12" ht="21">
      <c r="A849" s="138" t="s">
        <v>3238</v>
      </c>
      <c r="B849" s="135" t="s">
        <v>3241</v>
      </c>
      <c r="C849" s="136" t="s">
        <v>865</v>
      </c>
      <c r="D849" s="136" t="s">
        <v>811</v>
      </c>
      <c r="E849" s="138" t="s">
        <v>1571</v>
      </c>
      <c r="F849" s="420">
        <v>43100</v>
      </c>
      <c r="G849" s="141">
        <v>213.11967000000001</v>
      </c>
      <c r="H849" s="141">
        <v>4</v>
      </c>
      <c r="I849" s="142" t="s">
        <v>189</v>
      </c>
      <c r="J849" s="141">
        <v>5.3491300000000006</v>
      </c>
      <c r="K849" s="141">
        <v>105.13195999999999</v>
      </c>
      <c r="L849" s="141">
        <v>117.3865</v>
      </c>
    </row>
    <row r="850" spans="1:12" ht="42">
      <c r="A850" s="136" t="s">
        <v>3240</v>
      </c>
      <c r="B850" s="137" t="s">
        <v>3243</v>
      </c>
      <c r="C850" s="138" t="s">
        <v>1031</v>
      </c>
      <c r="D850" s="138" t="s">
        <v>1027</v>
      </c>
      <c r="E850" s="136" t="s">
        <v>1571</v>
      </c>
      <c r="F850" s="419">
        <v>43100</v>
      </c>
      <c r="G850" s="140">
        <v>209.54</v>
      </c>
      <c r="H850" s="143" t="s">
        <v>189</v>
      </c>
      <c r="I850" s="140">
        <v>1.8555999999999999</v>
      </c>
      <c r="J850" s="140">
        <v>7.7291400000000001</v>
      </c>
      <c r="K850" s="143" t="s">
        <v>189</v>
      </c>
      <c r="L850" s="140">
        <v>11.218069999999999</v>
      </c>
    </row>
    <row r="851" spans="1:12" ht="31.5">
      <c r="A851" s="138" t="s">
        <v>3242</v>
      </c>
      <c r="B851" s="135" t="s">
        <v>3245</v>
      </c>
      <c r="C851" s="136" t="s">
        <v>1450</v>
      </c>
      <c r="D851" s="136" t="s">
        <v>1451</v>
      </c>
      <c r="E851" s="138" t="s">
        <v>1571</v>
      </c>
      <c r="F851" s="420">
        <v>43100</v>
      </c>
      <c r="G851" s="141">
        <v>207.84365</v>
      </c>
      <c r="H851" s="141">
        <v>2</v>
      </c>
      <c r="I851" s="141">
        <v>11.88486</v>
      </c>
      <c r="J851" s="141">
        <v>50.544540000000005</v>
      </c>
      <c r="K851" s="141">
        <v>31.848960000000002</v>
      </c>
      <c r="L851" s="141">
        <v>95.922139999999999</v>
      </c>
    </row>
    <row r="852" spans="1:12" ht="42">
      <c r="A852" s="136" t="s">
        <v>3244</v>
      </c>
      <c r="B852" s="137" t="s">
        <v>3247</v>
      </c>
      <c r="C852" s="138" t="s">
        <v>982</v>
      </c>
      <c r="D852" s="138" t="s">
        <v>975</v>
      </c>
      <c r="E852" s="136" t="s">
        <v>1571</v>
      </c>
      <c r="F852" s="419">
        <v>43100</v>
      </c>
      <c r="G852" s="140">
        <v>201.51971000000003</v>
      </c>
      <c r="H852" s="140">
        <v>2</v>
      </c>
      <c r="I852" s="140">
        <v>5.3936900000000003</v>
      </c>
      <c r="J852" s="140">
        <v>17.080009999999998</v>
      </c>
      <c r="K852" s="140">
        <v>56.643680000000003</v>
      </c>
      <c r="L852" s="140">
        <v>92.791439999999994</v>
      </c>
    </row>
    <row r="853" spans="1:12" ht="42">
      <c r="A853" s="138" t="s">
        <v>3246</v>
      </c>
      <c r="B853" s="421" t="s">
        <v>3249</v>
      </c>
      <c r="C853" s="136" t="s">
        <v>1169</v>
      </c>
      <c r="D853" s="136" t="s">
        <v>1168</v>
      </c>
      <c r="E853" s="138" t="s">
        <v>1571</v>
      </c>
      <c r="F853" s="420">
        <v>42735</v>
      </c>
      <c r="G853" s="141">
        <v>195.2209</v>
      </c>
      <c r="H853" s="141">
        <v>3</v>
      </c>
      <c r="I853" s="142" t="s">
        <v>189</v>
      </c>
      <c r="J853" s="141">
        <v>28.559840000000001</v>
      </c>
      <c r="K853" s="141">
        <v>67.942959999999999</v>
      </c>
      <c r="L853" s="141">
        <v>103.15303999999999</v>
      </c>
    </row>
    <row r="854" spans="1:12" ht="21">
      <c r="A854" s="136" t="s">
        <v>3248</v>
      </c>
      <c r="B854" s="137" t="s">
        <v>3251</v>
      </c>
      <c r="C854" s="138" t="s">
        <v>835</v>
      </c>
      <c r="D854" s="138" t="s">
        <v>811</v>
      </c>
      <c r="E854" s="136" t="s">
        <v>1571</v>
      </c>
      <c r="F854" s="419">
        <v>40178</v>
      </c>
      <c r="G854" s="140">
        <v>194.28604999999999</v>
      </c>
      <c r="H854" s="140">
        <v>3</v>
      </c>
      <c r="I854" s="140"/>
      <c r="J854" s="140">
        <v>-31.462460000000004</v>
      </c>
      <c r="K854" s="140">
        <v>110.72105999999999</v>
      </c>
      <c r="L854" s="140">
        <v>95.676770000000005</v>
      </c>
    </row>
    <row r="855" spans="1:12" ht="21">
      <c r="A855" s="138" t="s">
        <v>3250</v>
      </c>
      <c r="B855" s="135" t="s">
        <v>3253</v>
      </c>
      <c r="C855" s="136" t="s">
        <v>832</v>
      </c>
      <c r="D855" s="136" t="s">
        <v>811</v>
      </c>
      <c r="E855" s="138" t="s">
        <v>1571</v>
      </c>
      <c r="F855" s="420">
        <v>43100</v>
      </c>
      <c r="G855" s="141">
        <v>193.50550000000001</v>
      </c>
      <c r="H855" s="141">
        <v>2</v>
      </c>
      <c r="I855" s="141">
        <v>1.1054200000000001</v>
      </c>
      <c r="J855" s="141">
        <v>3.50048</v>
      </c>
      <c r="K855" s="141">
        <v>71.373009999999994</v>
      </c>
      <c r="L855" s="141">
        <v>89.476829000000009</v>
      </c>
    </row>
    <row r="856" spans="1:12" ht="21">
      <c r="A856" s="136" t="s">
        <v>3252</v>
      </c>
      <c r="B856" s="137" t="s">
        <v>3255</v>
      </c>
      <c r="C856" s="138" t="s">
        <v>994</v>
      </c>
      <c r="D856" s="138" t="s">
        <v>975</v>
      </c>
      <c r="E856" s="136" t="s">
        <v>1571</v>
      </c>
      <c r="F856" s="419">
        <v>43100</v>
      </c>
      <c r="G856" s="140">
        <v>193.23179999999999</v>
      </c>
      <c r="H856" s="140">
        <v>3</v>
      </c>
      <c r="I856" s="140">
        <v>3.3782000000000001</v>
      </c>
      <c r="J856" s="140">
        <v>10.518090000000001</v>
      </c>
      <c r="K856" s="140">
        <v>94.193309999999997</v>
      </c>
      <c r="L856" s="140">
        <v>109.89118000000001</v>
      </c>
    </row>
    <row r="857" spans="1:12" ht="31.5">
      <c r="A857" s="138" t="s">
        <v>3254</v>
      </c>
      <c r="B857" s="135" t="s">
        <v>3257</v>
      </c>
      <c r="C857" s="136" t="s">
        <v>1348</v>
      </c>
      <c r="D857" s="136" t="s">
        <v>1341</v>
      </c>
      <c r="E857" s="138" t="s">
        <v>1571</v>
      </c>
      <c r="F857" s="420">
        <v>43100</v>
      </c>
      <c r="G857" s="141">
        <v>192.39491999999998</v>
      </c>
      <c r="H857" s="141">
        <v>2</v>
      </c>
      <c r="I857" s="141">
        <v>6.2638800000000003</v>
      </c>
      <c r="J857" s="141">
        <v>23.372640000000001</v>
      </c>
      <c r="K857" s="141">
        <v>51.966940000000001</v>
      </c>
      <c r="L857" s="141">
        <v>86.538399999999996</v>
      </c>
    </row>
    <row r="858" spans="1:12" ht="52.5">
      <c r="A858" s="136" t="s">
        <v>3256</v>
      </c>
      <c r="B858" s="137" t="s">
        <v>3259</v>
      </c>
      <c r="C858" s="138" t="s">
        <v>1278</v>
      </c>
      <c r="D858" s="138" t="s">
        <v>1266</v>
      </c>
      <c r="E858" s="136" t="s">
        <v>1571</v>
      </c>
      <c r="F858" s="419">
        <v>43100</v>
      </c>
      <c r="G858" s="140">
        <v>177.03804000000002</v>
      </c>
      <c r="H858" s="140">
        <v>2</v>
      </c>
      <c r="I858" s="140"/>
      <c r="J858" s="140">
        <v>-22.093119999999999</v>
      </c>
      <c r="K858" s="140">
        <v>74.187359999999998</v>
      </c>
      <c r="L858" s="140">
        <v>61.563500000000005</v>
      </c>
    </row>
    <row r="859" spans="1:12" ht="21">
      <c r="A859" s="138" t="s">
        <v>3258</v>
      </c>
      <c r="B859" s="135" t="s">
        <v>3261</v>
      </c>
      <c r="C859" s="136" t="s">
        <v>659</v>
      </c>
      <c r="D859" s="136" t="s">
        <v>1622</v>
      </c>
      <c r="E859" s="138" t="s">
        <v>1571</v>
      </c>
      <c r="F859" s="420">
        <v>43100</v>
      </c>
      <c r="G859" s="141">
        <v>173.44604000000001</v>
      </c>
      <c r="H859" s="141">
        <v>1</v>
      </c>
      <c r="I859" s="141"/>
      <c r="J859" s="141">
        <v>7.3166000000000002</v>
      </c>
      <c r="K859" s="141">
        <v>55.299719999999994</v>
      </c>
      <c r="L859" s="141">
        <v>60.896430000000002</v>
      </c>
    </row>
    <row r="860" spans="1:12" ht="31.5">
      <c r="A860" s="136" t="s">
        <v>3260</v>
      </c>
      <c r="B860" s="137" t="s">
        <v>3263</v>
      </c>
      <c r="C860" s="138" t="s">
        <v>751</v>
      </c>
      <c r="D860" s="138" t="s">
        <v>2063</v>
      </c>
      <c r="E860" s="136" t="s">
        <v>1571</v>
      </c>
      <c r="F860" s="419">
        <v>43100</v>
      </c>
      <c r="G860" s="140">
        <v>173.22881999999998</v>
      </c>
      <c r="H860" s="140">
        <v>2</v>
      </c>
      <c r="I860" s="143" t="s">
        <v>189</v>
      </c>
      <c r="J860" s="140">
        <v>49.378320000000002</v>
      </c>
      <c r="K860" s="140">
        <v>57.304780000000001</v>
      </c>
      <c r="L860" s="140">
        <v>109.54140999999998</v>
      </c>
    </row>
    <row r="861" spans="1:12" ht="31.5">
      <c r="A861" s="138" t="s">
        <v>3262</v>
      </c>
      <c r="B861" s="135" t="s">
        <v>3265</v>
      </c>
      <c r="C861" s="136" t="s">
        <v>926</v>
      </c>
      <c r="D861" s="136" t="s">
        <v>811</v>
      </c>
      <c r="E861" s="138" t="s">
        <v>1571</v>
      </c>
      <c r="F861" s="420">
        <v>42369</v>
      </c>
      <c r="G861" s="141">
        <v>173.21484000000001</v>
      </c>
      <c r="H861" s="141">
        <v>3</v>
      </c>
      <c r="I861" s="142" t="s">
        <v>189</v>
      </c>
      <c r="J861" s="141">
        <v>-12.886270000000001</v>
      </c>
      <c r="K861" s="141">
        <v>124.83745999999999</v>
      </c>
      <c r="L861" s="141">
        <v>129.60156000000001</v>
      </c>
    </row>
    <row r="862" spans="1:12" ht="63">
      <c r="A862" s="136" t="s">
        <v>3264</v>
      </c>
      <c r="B862" s="137" t="s">
        <v>3267</v>
      </c>
      <c r="C862" s="138" t="s">
        <v>1379</v>
      </c>
      <c r="D862" s="138" t="s">
        <v>1797</v>
      </c>
      <c r="E862" s="136" t="s">
        <v>1571</v>
      </c>
      <c r="F862" s="419">
        <v>42369</v>
      </c>
      <c r="G862" s="140">
        <v>168.54002</v>
      </c>
      <c r="H862" s="140">
        <v>1</v>
      </c>
      <c r="I862" s="143" t="s">
        <v>189</v>
      </c>
      <c r="J862" s="140">
        <v>-9.7286800000000007</v>
      </c>
      <c r="K862" s="140">
        <v>38.705689999999997</v>
      </c>
      <c r="L862" s="140">
        <v>33.321570000000001</v>
      </c>
    </row>
    <row r="863" spans="1:12" ht="31.5">
      <c r="A863" s="138" t="s">
        <v>3266</v>
      </c>
      <c r="B863" s="135" t="s">
        <v>3269</v>
      </c>
      <c r="C863" s="136" t="s">
        <v>1267</v>
      </c>
      <c r="D863" s="136" t="s">
        <v>1266</v>
      </c>
      <c r="E863" s="138" t="s">
        <v>1571</v>
      </c>
      <c r="F863" s="420">
        <v>43100</v>
      </c>
      <c r="G863" s="141">
        <v>167.77686</v>
      </c>
      <c r="H863" s="141">
        <v>4</v>
      </c>
      <c r="I863" s="141">
        <v>1.2521199999999999</v>
      </c>
      <c r="J863" s="141">
        <v>4.0347100000000005</v>
      </c>
      <c r="K863" s="141">
        <v>71.778229999999994</v>
      </c>
      <c r="L863" s="141">
        <v>77.065060000000003</v>
      </c>
    </row>
    <row r="864" spans="1:12" ht="21">
      <c r="A864" s="136" t="s">
        <v>3268</v>
      </c>
      <c r="B864" s="137" t="s">
        <v>3271</v>
      </c>
      <c r="C864" s="138" t="s">
        <v>670</v>
      </c>
      <c r="D864" s="138" t="s">
        <v>668</v>
      </c>
      <c r="E864" s="136" t="s">
        <v>1571</v>
      </c>
      <c r="F864" s="419">
        <v>43100</v>
      </c>
      <c r="G864" s="140">
        <v>167.49182999999999</v>
      </c>
      <c r="H864" s="140">
        <v>2</v>
      </c>
      <c r="I864" s="140">
        <v>0.27635999999999999</v>
      </c>
      <c r="J864" s="140">
        <v>1.1630400000000001</v>
      </c>
      <c r="K864" s="140">
        <v>31.38007</v>
      </c>
      <c r="L864" s="140">
        <v>36.811380000000007</v>
      </c>
    </row>
    <row r="865" spans="1:12" ht="52.5">
      <c r="A865" s="138" t="s">
        <v>3270</v>
      </c>
      <c r="B865" s="135" t="s">
        <v>3273</v>
      </c>
      <c r="C865" s="136" t="s">
        <v>816</v>
      </c>
      <c r="D865" s="136" t="s">
        <v>811</v>
      </c>
      <c r="E865" s="138" t="s">
        <v>1571</v>
      </c>
      <c r="F865" s="420">
        <v>43100</v>
      </c>
      <c r="G865" s="141">
        <v>166.94611</v>
      </c>
      <c r="H865" s="141">
        <v>2</v>
      </c>
      <c r="I865" s="141">
        <v>4.5708799999999998</v>
      </c>
      <c r="J865" s="141">
        <v>16.241040000000002</v>
      </c>
      <c r="K865" s="141">
        <v>66.628229000000005</v>
      </c>
      <c r="L865" s="141">
        <v>95.72060900000001</v>
      </c>
    </row>
    <row r="866" spans="1:12" ht="42">
      <c r="A866" s="136" t="s">
        <v>3272</v>
      </c>
      <c r="B866" s="137" t="s">
        <v>3275</v>
      </c>
      <c r="C866" s="138" t="s">
        <v>870</v>
      </c>
      <c r="D866" s="138" t="s">
        <v>811</v>
      </c>
      <c r="E866" s="136" t="s">
        <v>1571</v>
      </c>
      <c r="F866" s="419">
        <v>43100</v>
      </c>
      <c r="G866" s="140">
        <v>161.39600000000002</v>
      </c>
      <c r="H866" s="140">
        <v>1</v>
      </c>
      <c r="I866" s="140">
        <v>5.4179500000000003</v>
      </c>
      <c r="J866" s="140">
        <v>18.590250000000001</v>
      </c>
      <c r="K866" s="140">
        <v>60.000010000000003</v>
      </c>
      <c r="L866" s="140">
        <v>84.011209999999991</v>
      </c>
    </row>
    <row r="867" spans="1:12" ht="21">
      <c r="A867" s="138" t="s">
        <v>3274</v>
      </c>
      <c r="B867" s="135" t="s">
        <v>3277</v>
      </c>
      <c r="C867" s="136" t="s">
        <v>820</v>
      </c>
      <c r="D867" s="136" t="s">
        <v>811</v>
      </c>
      <c r="E867" s="138" t="s">
        <v>1571</v>
      </c>
      <c r="F867" s="420">
        <v>43100</v>
      </c>
      <c r="G867" s="141">
        <v>158.27501000000001</v>
      </c>
      <c r="H867" s="142" t="s">
        <v>189</v>
      </c>
      <c r="I867" s="141"/>
      <c r="J867" s="141">
        <v>-4.2448699999999997</v>
      </c>
      <c r="K867" s="142" t="s">
        <v>189</v>
      </c>
      <c r="L867" s="141">
        <v>-4.8206800000000003</v>
      </c>
    </row>
    <row r="868" spans="1:12" ht="31.5">
      <c r="A868" s="136" t="s">
        <v>3276</v>
      </c>
      <c r="B868" s="139" t="s">
        <v>3279</v>
      </c>
      <c r="C868" s="138" t="s">
        <v>914</v>
      </c>
      <c r="D868" s="138" t="s">
        <v>811</v>
      </c>
      <c r="E868" s="136" t="s">
        <v>1571</v>
      </c>
      <c r="F868" s="419">
        <v>42369</v>
      </c>
      <c r="G868" s="140">
        <v>153.43074999999999</v>
      </c>
      <c r="H868" s="140">
        <v>1</v>
      </c>
      <c r="I868" s="140">
        <v>18.313209999999998</v>
      </c>
      <c r="J868" s="140">
        <v>75.099729999999994</v>
      </c>
      <c r="K868" s="140">
        <v>24.209230000000002</v>
      </c>
      <c r="L868" s="140">
        <v>127.94251</v>
      </c>
    </row>
    <row r="869" spans="1:12" ht="21">
      <c r="A869" s="138" t="s">
        <v>3278</v>
      </c>
      <c r="B869" s="135" t="s">
        <v>3281</v>
      </c>
      <c r="C869" s="136" t="s">
        <v>1042</v>
      </c>
      <c r="D869" s="136" t="s">
        <v>971</v>
      </c>
      <c r="E869" s="138" t="s">
        <v>1571</v>
      </c>
      <c r="F869" s="420">
        <v>39447</v>
      </c>
      <c r="G869" s="141">
        <v>152.83431999999999</v>
      </c>
      <c r="H869" s="141">
        <v>1</v>
      </c>
      <c r="I869" s="141">
        <v>0.39862000000000003</v>
      </c>
      <c r="J869" s="141">
        <v>1.2622800000000001</v>
      </c>
      <c r="K869" s="141">
        <v>47.740080000000006</v>
      </c>
      <c r="L869" s="141">
        <v>50.068460000000002</v>
      </c>
    </row>
    <row r="870" spans="1:12" ht="42">
      <c r="A870" s="136" t="s">
        <v>3280</v>
      </c>
      <c r="B870" s="137" t="s">
        <v>3283</v>
      </c>
      <c r="C870" s="138" t="s">
        <v>1403</v>
      </c>
      <c r="D870" s="138" t="s">
        <v>1404</v>
      </c>
      <c r="E870" s="136" t="s">
        <v>1571</v>
      </c>
      <c r="F870" s="419">
        <v>43100</v>
      </c>
      <c r="G870" s="140">
        <v>149.54433</v>
      </c>
      <c r="H870" s="140">
        <v>2</v>
      </c>
      <c r="I870" s="140"/>
      <c r="J870" s="140">
        <v>-1.7212499999999999</v>
      </c>
      <c r="K870" s="140">
        <v>69.324409999999986</v>
      </c>
      <c r="L870" s="140">
        <v>69.822969999999998</v>
      </c>
    </row>
    <row r="871" spans="1:12" ht="21">
      <c r="A871" s="138" t="s">
        <v>3282</v>
      </c>
      <c r="B871" s="421" t="s">
        <v>3285</v>
      </c>
      <c r="C871" s="136" t="s">
        <v>827</v>
      </c>
      <c r="D871" s="136" t="s">
        <v>811</v>
      </c>
      <c r="E871" s="138" t="s">
        <v>1571</v>
      </c>
      <c r="F871" s="420">
        <v>43100</v>
      </c>
      <c r="G871" s="141">
        <v>148.80549999999999</v>
      </c>
      <c r="H871" s="142" t="s">
        <v>189</v>
      </c>
      <c r="I871" s="142" t="s">
        <v>189</v>
      </c>
      <c r="J871" s="141">
        <v>4.5990000000000003E-2</v>
      </c>
      <c r="K871" s="141">
        <v>27.37</v>
      </c>
      <c r="L871" s="141">
        <v>27.868189999999998</v>
      </c>
    </row>
    <row r="872" spans="1:12" ht="31.5">
      <c r="A872" s="136" t="s">
        <v>3284</v>
      </c>
      <c r="B872" s="137" t="s">
        <v>3287</v>
      </c>
      <c r="C872" s="138" t="s">
        <v>962</v>
      </c>
      <c r="D872" s="138" t="s">
        <v>811</v>
      </c>
      <c r="E872" s="136" t="s">
        <v>1571</v>
      </c>
      <c r="F872" s="419">
        <v>40908</v>
      </c>
      <c r="G872" s="140">
        <v>145.93725000000001</v>
      </c>
      <c r="H872" s="140">
        <v>2</v>
      </c>
      <c r="I872" s="143" t="s">
        <v>189</v>
      </c>
      <c r="J872" s="140">
        <v>-3.4492399999999996</v>
      </c>
      <c r="K872" s="140">
        <v>41.101570000000002</v>
      </c>
      <c r="L872" s="140">
        <v>42.331400000000002</v>
      </c>
    </row>
    <row r="873" spans="1:12" ht="42">
      <c r="A873" s="138" t="s">
        <v>3286</v>
      </c>
      <c r="B873" s="421" t="s">
        <v>3289</v>
      </c>
      <c r="C873" s="136" t="s">
        <v>966</v>
      </c>
      <c r="D873" s="136" t="s">
        <v>811</v>
      </c>
      <c r="E873" s="138" t="s">
        <v>1571</v>
      </c>
      <c r="F873" s="420">
        <v>43100</v>
      </c>
      <c r="G873" s="141">
        <v>145.76617000000002</v>
      </c>
      <c r="H873" s="141">
        <v>1</v>
      </c>
      <c r="I873" s="141">
        <v>0.36734000000000006</v>
      </c>
      <c r="J873" s="141">
        <v>1.16326</v>
      </c>
      <c r="K873" s="141">
        <v>42.59149</v>
      </c>
      <c r="L873" s="141">
        <v>44.929209999999998</v>
      </c>
    </row>
    <row r="874" spans="1:12" ht="21">
      <c r="A874" s="136" t="s">
        <v>3288</v>
      </c>
      <c r="B874" s="137" t="s">
        <v>3291</v>
      </c>
      <c r="C874" s="138" t="s">
        <v>907</v>
      </c>
      <c r="D874" s="138" t="s">
        <v>811</v>
      </c>
      <c r="E874" s="136" t="s">
        <v>1571</v>
      </c>
      <c r="F874" s="419">
        <v>42004</v>
      </c>
      <c r="G874" s="140">
        <v>144.88532999999998</v>
      </c>
      <c r="H874" s="140">
        <v>6</v>
      </c>
      <c r="I874" s="140"/>
      <c r="J874" s="140">
        <v>-7.8778699999999997</v>
      </c>
      <c r="K874" s="140">
        <v>90.523330000000001</v>
      </c>
      <c r="L874" s="140">
        <v>86.2303</v>
      </c>
    </row>
    <row r="875" spans="1:12" ht="31.5">
      <c r="A875" s="138" t="s">
        <v>3290</v>
      </c>
      <c r="B875" s="135" t="s">
        <v>3293</v>
      </c>
      <c r="C875" s="136" t="s">
        <v>1412</v>
      </c>
      <c r="D875" s="136" t="s">
        <v>1411</v>
      </c>
      <c r="E875" s="138" t="s">
        <v>1571</v>
      </c>
      <c r="F875" s="420">
        <v>43100</v>
      </c>
      <c r="G875" s="141">
        <v>142.4495</v>
      </c>
      <c r="H875" s="141">
        <v>2</v>
      </c>
      <c r="I875" s="142" t="s">
        <v>189</v>
      </c>
      <c r="J875" s="141">
        <v>19.839309999999998</v>
      </c>
      <c r="K875" s="141">
        <v>72.446270000000013</v>
      </c>
      <c r="L875" s="141">
        <v>104.40105000000001</v>
      </c>
    </row>
    <row r="876" spans="1:12" ht="52.5">
      <c r="A876" s="136" t="s">
        <v>3292</v>
      </c>
      <c r="B876" s="137" t="s">
        <v>3295</v>
      </c>
      <c r="C876" s="138" t="s">
        <v>1447</v>
      </c>
      <c r="D876" s="138" t="s">
        <v>1448</v>
      </c>
      <c r="E876" s="136" t="s">
        <v>1571</v>
      </c>
      <c r="F876" s="419">
        <v>42735</v>
      </c>
      <c r="G876" s="140">
        <v>141.5453</v>
      </c>
      <c r="H876" s="140">
        <v>2</v>
      </c>
      <c r="I876" s="140">
        <v>0.53394999999999992</v>
      </c>
      <c r="J876" s="140">
        <v>2.99072</v>
      </c>
      <c r="K876" s="140">
        <v>87.943529999999996</v>
      </c>
      <c r="L876" s="140">
        <v>105.46545900000001</v>
      </c>
    </row>
    <row r="877" spans="1:12" ht="21">
      <c r="A877" s="138" t="s">
        <v>3294</v>
      </c>
      <c r="B877" s="135" t="s">
        <v>3297</v>
      </c>
      <c r="C877" s="136" t="s">
        <v>1171</v>
      </c>
      <c r="D877" s="136" t="s">
        <v>1168</v>
      </c>
      <c r="E877" s="138" t="s">
        <v>1571</v>
      </c>
      <c r="F877" s="420">
        <v>43100</v>
      </c>
      <c r="G877" s="141">
        <v>139.25567000000001</v>
      </c>
      <c r="H877" s="141">
        <v>1</v>
      </c>
      <c r="I877" s="141">
        <v>2.1410500000000003</v>
      </c>
      <c r="J877" s="141">
        <v>6.78</v>
      </c>
      <c r="K877" s="141">
        <v>19.193519999999999</v>
      </c>
      <c r="L877" s="141">
        <v>43.345779999999998</v>
      </c>
    </row>
    <row r="878" spans="1:12" ht="21">
      <c r="A878" s="136" t="s">
        <v>3296</v>
      </c>
      <c r="B878" s="137" t="s">
        <v>3299</v>
      </c>
      <c r="C878" s="138" t="s">
        <v>699</v>
      </c>
      <c r="D878" s="138" t="s">
        <v>700</v>
      </c>
      <c r="E878" s="136" t="s">
        <v>1571</v>
      </c>
      <c r="F878" s="419">
        <v>43100</v>
      </c>
      <c r="G878" s="140">
        <v>139.04603</v>
      </c>
      <c r="H878" s="140">
        <v>3</v>
      </c>
      <c r="I878" s="140">
        <v>2.84077</v>
      </c>
      <c r="J878" s="140">
        <v>8.9957600000000006</v>
      </c>
      <c r="K878" s="140">
        <v>41.966480000000004</v>
      </c>
      <c r="L878" s="140">
        <v>54.678350000000009</v>
      </c>
    </row>
    <row r="879" spans="1:12" ht="21">
      <c r="A879" s="138" t="s">
        <v>3298</v>
      </c>
      <c r="B879" s="135" t="s">
        <v>3301</v>
      </c>
      <c r="C879" s="136" t="s">
        <v>889</v>
      </c>
      <c r="D879" s="136" t="s">
        <v>811</v>
      </c>
      <c r="E879" s="138" t="s">
        <v>1571</v>
      </c>
      <c r="F879" s="420">
        <v>43100</v>
      </c>
      <c r="G879" s="141">
        <v>131.05490999999998</v>
      </c>
      <c r="H879" s="141">
        <v>1</v>
      </c>
      <c r="I879" s="142" t="s">
        <v>189</v>
      </c>
      <c r="J879" s="141">
        <v>8.3964099999999995</v>
      </c>
      <c r="K879" s="141">
        <v>21.793560000000003</v>
      </c>
      <c r="L879" s="141">
        <v>40.086390000000002</v>
      </c>
    </row>
    <row r="880" spans="1:12" ht="31.5">
      <c r="A880" s="136" t="s">
        <v>3300</v>
      </c>
      <c r="B880" s="137" t="s">
        <v>3303</v>
      </c>
      <c r="C880" s="138" t="s">
        <v>1481</v>
      </c>
      <c r="D880" s="138" t="s">
        <v>1474</v>
      </c>
      <c r="E880" s="136" t="s">
        <v>1571</v>
      </c>
      <c r="F880" s="419">
        <v>43100</v>
      </c>
      <c r="G880" s="140">
        <v>130.46039999999999</v>
      </c>
      <c r="H880" s="143" t="s">
        <v>189</v>
      </c>
      <c r="I880" s="143" t="s">
        <v>189</v>
      </c>
      <c r="J880" s="140">
        <v>1.63662</v>
      </c>
      <c r="K880" s="140">
        <v>27.742920000000002</v>
      </c>
      <c r="L880" s="140">
        <v>38.221600000000002</v>
      </c>
    </row>
    <row r="881" spans="1:12" ht="31.5">
      <c r="A881" s="138" t="s">
        <v>3302</v>
      </c>
      <c r="B881" s="421" t="s">
        <v>3305</v>
      </c>
      <c r="C881" s="136" t="s">
        <v>921</v>
      </c>
      <c r="D881" s="136" t="s">
        <v>811</v>
      </c>
      <c r="E881" s="138" t="s">
        <v>1571</v>
      </c>
      <c r="F881" s="420">
        <v>40543</v>
      </c>
      <c r="G881" s="141">
        <v>130.24439999999998</v>
      </c>
      <c r="H881" s="141">
        <v>2</v>
      </c>
      <c r="I881" s="141">
        <v>1.6435599999999999</v>
      </c>
      <c r="J881" s="141">
        <v>10.807700000000001</v>
      </c>
      <c r="K881" s="141">
        <v>38.829360000000001</v>
      </c>
      <c r="L881" s="141">
        <v>69.297539999999998</v>
      </c>
    </row>
    <row r="882" spans="1:12" ht="42">
      <c r="A882" s="136" t="s">
        <v>3304</v>
      </c>
      <c r="B882" s="137" t="s">
        <v>3307</v>
      </c>
      <c r="C882" s="138" t="s">
        <v>846</v>
      </c>
      <c r="D882" s="138" t="s">
        <v>811</v>
      </c>
      <c r="E882" s="136" t="s">
        <v>1571</v>
      </c>
      <c r="F882" s="419">
        <v>38717</v>
      </c>
      <c r="G882" s="140">
        <v>130.1174</v>
      </c>
      <c r="H882" s="143" t="s">
        <v>189</v>
      </c>
      <c r="I882" s="140">
        <v>1.83005</v>
      </c>
      <c r="J882" s="140">
        <v>0.49896999999999997</v>
      </c>
      <c r="K882" s="140">
        <v>30.766500000000001</v>
      </c>
      <c r="L882" s="140">
        <v>44.953928999999995</v>
      </c>
    </row>
    <row r="883" spans="1:12" ht="31.5">
      <c r="A883" s="138" t="s">
        <v>3306</v>
      </c>
      <c r="B883" s="135" t="s">
        <v>3309</v>
      </c>
      <c r="C883" s="136" t="s">
        <v>1441</v>
      </c>
      <c r="D883" s="136" t="s">
        <v>1429</v>
      </c>
      <c r="E883" s="138" t="s">
        <v>1571</v>
      </c>
      <c r="F883" s="420">
        <v>43100</v>
      </c>
      <c r="G883" s="141">
        <v>126.90723</v>
      </c>
      <c r="H883" s="142" t="s">
        <v>189</v>
      </c>
      <c r="I883" s="141">
        <v>-7.9450000000000007E-2</v>
      </c>
      <c r="J883" s="141">
        <v>-0.25158000000000003</v>
      </c>
      <c r="K883" s="142" t="s">
        <v>189</v>
      </c>
      <c r="L883" s="141">
        <v>-0.33102999999999999</v>
      </c>
    </row>
    <row r="884" spans="1:12" ht="21">
      <c r="A884" s="136" t="s">
        <v>3308</v>
      </c>
      <c r="B884" s="137" t="s">
        <v>3311</v>
      </c>
      <c r="C884" s="138" t="s">
        <v>1268</v>
      </c>
      <c r="D884" s="138" t="s">
        <v>1266</v>
      </c>
      <c r="E884" s="136" t="s">
        <v>1571</v>
      </c>
      <c r="F884" s="419">
        <v>43100</v>
      </c>
      <c r="G884" s="140">
        <v>124.72932000000002</v>
      </c>
      <c r="H884" s="140">
        <v>2</v>
      </c>
      <c r="I884" s="140"/>
      <c r="J884" s="140">
        <v>-12.837440000000001</v>
      </c>
      <c r="K884" s="140">
        <v>69.250989999999987</v>
      </c>
      <c r="L884" s="140">
        <v>53.990549000000001</v>
      </c>
    </row>
    <row r="885" spans="1:12" ht="42">
      <c r="A885" s="138" t="s">
        <v>3310</v>
      </c>
      <c r="B885" s="135" t="s">
        <v>3313</v>
      </c>
      <c r="C885" s="136" t="s">
        <v>872</v>
      </c>
      <c r="D885" s="136" t="s">
        <v>1474</v>
      </c>
      <c r="E885" s="138" t="s">
        <v>1571</v>
      </c>
      <c r="F885" s="420">
        <v>43100</v>
      </c>
      <c r="G885" s="141">
        <v>120.70359000000001</v>
      </c>
      <c r="H885" s="141">
        <v>2</v>
      </c>
      <c r="I885" s="141">
        <v>1.5542100000000001</v>
      </c>
      <c r="J885" s="141">
        <v>6.5406100000000009</v>
      </c>
      <c r="K885" s="141">
        <v>52.931699999999999</v>
      </c>
      <c r="L885" s="141">
        <v>63.398468999999999</v>
      </c>
    </row>
    <row r="886" spans="1:12" ht="52.5">
      <c r="A886" s="136" t="s">
        <v>3312</v>
      </c>
      <c r="B886" s="137" t="s">
        <v>3315</v>
      </c>
      <c r="C886" s="138" t="s">
        <v>1277</v>
      </c>
      <c r="D886" s="138" t="s">
        <v>1266</v>
      </c>
      <c r="E886" s="136" t="s">
        <v>1571</v>
      </c>
      <c r="F886" s="419">
        <v>43100</v>
      </c>
      <c r="G886" s="140">
        <v>119.54065000000001</v>
      </c>
      <c r="H886" s="140">
        <v>1</v>
      </c>
      <c r="I886" s="143" t="s">
        <v>189</v>
      </c>
      <c r="J886" s="140">
        <v>0.40194000000000002</v>
      </c>
      <c r="K886" s="140">
        <v>41.928159999999998</v>
      </c>
      <c r="L886" s="140">
        <v>42.834789999999991</v>
      </c>
    </row>
    <row r="887" spans="1:12">
      <c r="A887" s="138" t="s">
        <v>3314</v>
      </c>
      <c r="B887" s="135" t="s">
        <v>3317</v>
      </c>
      <c r="C887" s="136" t="s">
        <v>628</v>
      </c>
      <c r="D887" s="136" t="s">
        <v>3318</v>
      </c>
      <c r="E887" s="138" t="s">
        <v>1571</v>
      </c>
      <c r="F887" s="420">
        <v>43100</v>
      </c>
      <c r="G887" s="141">
        <v>118.43731</v>
      </c>
      <c r="H887" s="141">
        <v>1</v>
      </c>
      <c r="I887" s="142" t="s">
        <v>189</v>
      </c>
      <c r="J887" s="141">
        <v>-2.1618200000000001</v>
      </c>
      <c r="K887" s="141">
        <v>18.79954</v>
      </c>
      <c r="L887" s="141">
        <v>33.732469999999999</v>
      </c>
    </row>
    <row r="888" spans="1:12" ht="31.5">
      <c r="A888" s="136" t="s">
        <v>3316</v>
      </c>
      <c r="B888" s="137" t="s">
        <v>3320</v>
      </c>
      <c r="C888" s="138" t="s">
        <v>1363</v>
      </c>
      <c r="D888" s="138" t="s">
        <v>1366</v>
      </c>
      <c r="E888" s="136" t="s">
        <v>1571</v>
      </c>
      <c r="F888" s="419">
        <v>43100</v>
      </c>
      <c r="G888" s="140">
        <v>116.77007</v>
      </c>
      <c r="H888" s="140">
        <v>3</v>
      </c>
      <c r="I888" s="143" t="s">
        <v>189</v>
      </c>
      <c r="J888" s="140">
        <v>-8.2049099999999999</v>
      </c>
      <c r="K888" s="140">
        <v>43.957430000000002</v>
      </c>
      <c r="L888" s="140">
        <v>36.360370000000003</v>
      </c>
    </row>
    <row r="889" spans="1:12" ht="63">
      <c r="A889" s="138" t="s">
        <v>3319</v>
      </c>
      <c r="B889" s="135" t="s">
        <v>3322</v>
      </c>
      <c r="C889" s="136" t="s">
        <v>1060</v>
      </c>
      <c r="D889" s="136" t="s">
        <v>971</v>
      </c>
      <c r="E889" s="138" t="s">
        <v>1571</v>
      </c>
      <c r="F889" s="420">
        <v>43100</v>
      </c>
      <c r="G889" s="141">
        <v>114.42305</v>
      </c>
      <c r="H889" s="141">
        <v>1</v>
      </c>
      <c r="I889" s="142" t="s">
        <v>189</v>
      </c>
      <c r="J889" s="141">
        <v>6.7418000000000005</v>
      </c>
      <c r="K889" s="141">
        <v>3.2523000000000004</v>
      </c>
      <c r="L889" s="141">
        <v>10.255308999999999</v>
      </c>
    </row>
    <row r="890" spans="1:12" ht="42">
      <c r="A890" s="136" t="s">
        <v>3321</v>
      </c>
      <c r="B890" s="137" t="s">
        <v>3324</v>
      </c>
      <c r="C890" s="138" t="s">
        <v>1339</v>
      </c>
      <c r="D890" s="138" t="s">
        <v>3325</v>
      </c>
      <c r="E890" s="136" t="s">
        <v>1571</v>
      </c>
      <c r="F890" s="419">
        <v>43100</v>
      </c>
      <c r="G890" s="140">
        <v>114.36236000000001</v>
      </c>
      <c r="H890" s="140">
        <v>1</v>
      </c>
      <c r="I890" s="143" t="s">
        <v>189</v>
      </c>
      <c r="J890" s="140">
        <v>13.98151</v>
      </c>
      <c r="K890" s="140">
        <v>12.2523</v>
      </c>
      <c r="L890" s="140">
        <v>39.419008999999996</v>
      </c>
    </row>
    <row r="891" spans="1:12" ht="31.5">
      <c r="A891" s="138" t="s">
        <v>3323</v>
      </c>
      <c r="B891" s="135" t="s">
        <v>3327</v>
      </c>
      <c r="C891" s="136" t="s">
        <v>934</v>
      </c>
      <c r="D891" s="136" t="s">
        <v>811</v>
      </c>
      <c r="E891" s="138" t="s">
        <v>1571</v>
      </c>
      <c r="F891" s="420">
        <v>43100</v>
      </c>
      <c r="G891" s="141">
        <v>112.71790999999999</v>
      </c>
      <c r="H891" s="141">
        <v>2</v>
      </c>
      <c r="I891" s="142" t="s">
        <v>189</v>
      </c>
      <c r="J891" s="141">
        <v>-20.97372</v>
      </c>
      <c r="K891" s="141">
        <v>67.527190000000004</v>
      </c>
      <c r="L891" s="141">
        <v>56.407769999999999</v>
      </c>
    </row>
    <row r="892" spans="1:12" ht="31.5">
      <c r="A892" s="136" t="s">
        <v>3326</v>
      </c>
      <c r="B892" s="137" t="s">
        <v>3329</v>
      </c>
      <c r="C892" s="138" t="s">
        <v>1238</v>
      </c>
      <c r="D892" s="138" t="s">
        <v>1235</v>
      </c>
      <c r="E892" s="136" t="s">
        <v>1571</v>
      </c>
      <c r="F892" s="419">
        <v>42735</v>
      </c>
      <c r="G892" s="140">
        <v>110.87661</v>
      </c>
      <c r="H892" s="140">
        <v>2</v>
      </c>
      <c r="I892" s="140"/>
      <c r="J892" s="140">
        <v>-26.87377</v>
      </c>
      <c r="K892" s="140">
        <v>66.799979000000008</v>
      </c>
      <c r="L892" s="140">
        <v>31.449759</v>
      </c>
    </row>
    <row r="893" spans="1:12" ht="31.5">
      <c r="A893" s="138" t="s">
        <v>3328</v>
      </c>
      <c r="B893" s="135" t="s">
        <v>3331</v>
      </c>
      <c r="C893" s="136" t="s">
        <v>724</v>
      </c>
      <c r="D893" s="136" t="s">
        <v>725</v>
      </c>
      <c r="E893" s="138" t="s">
        <v>1571</v>
      </c>
      <c r="F893" s="420">
        <v>43100</v>
      </c>
      <c r="G893" s="141">
        <v>91.731700000000004</v>
      </c>
      <c r="H893" s="141">
        <v>3</v>
      </c>
      <c r="I893" s="142" t="s">
        <v>189</v>
      </c>
      <c r="J893" s="141">
        <v>-1.96573</v>
      </c>
      <c r="K893" s="141">
        <v>60.08569</v>
      </c>
      <c r="L893" s="141">
        <v>59.559550000000002</v>
      </c>
    </row>
    <row r="894" spans="1:12">
      <c r="A894" s="136" t="s">
        <v>3330</v>
      </c>
      <c r="B894" s="137" t="s">
        <v>3333</v>
      </c>
      <c r="C894" s="138" t="s">
        <v>938</v>
      </c>
      <c r="D894" s="138" t="s">
        <v>811</v>
      </c>
      <c r="E894" s="136" t="s">
        <v>1571</v>
      </c>
      <c r="F894" s="419">
        <v>43100</v>
      </c>
      <c r="G894" s="140">
        <v>88.033860000000004</v>
      </c>
      <c r="H894" s="140">
        <v>1</v>
      </c>
      <c r="I894" s="140">
        <v>-0.39122999999999997</v>
      </c>
      <c r="J894" s="140">
        <v>-1.7664200000000001</v>
      </c>
      <c r="K894" s="140">
        <v>40.671350000000004</v>
      </c>
      <c r="L894" s="140">
        <v>48.312880000000007</v>
      </c>
    </row>
    <row r="895" spans="1:12" ht="42">
      <c r="A895" s="138" t="s">
        <v>3332</v>
      </c>
      <c r="B895" s="135" t="s">
        <v>3335</v>
      </c>
      <c r="C895" s="136" t="s">
        <v>839</v>
      </c>
      <c r="D895" s="136" t="s">
        <v>811</v>
      </c>
      <c r="E895" s="138" t="s">
        <v>1571</v>
      </c>
      <c r="F895" s="420">
        <v>43100</v>
      </c>
      <c r="G895" s="141">
        <v>86.479309999999998</v>
      </c>
      <c r="H895" s="141">
        <v>1</v>
      </c>
      <c r="I895" s="142" t="s">
        <v>189</v>
      </c>
      <c r="J895" s="141">
        <v>-7.629690000000001</v>
      </c>
      <c r="K895" s="141">
        <v>36.660139999999998</v>
      </c>
      <c r="L895" s="141">
        <v>29.54965</v>
      </c>
    </row>
    <row r="896" spans="1:12" ht="21">
      <c r="A896" s="136" t="s">
        <v>3334</v>
      </c>
      <c r="B896" s="137" t="s">
        <v>3337</v>
      </c>
      <c r="C896" s="138" t="s">
        <v>1024</v>
      </c>
      <c r="D896" s="138" t="s">
        <v>1025</v>
      </c>
      <c r="E896" s="136" t="s">
        <v>1571</v>
      </c>
      <c r="F896" s="419">
        <v>43100</v>
      </c>
      <c r="G896" s="140">
        <v>84.189439999999991</v>
      </c>
      <c r="H896" s="140">
        <v>1</v>
      </c>
      <c r="I896" s="140"/>
      <c r="J896" s="140">
        <v>-2.0998900000000003</v>
      </c>
      <c r="K896" s="140">
        <v>7.7365200000000005</v>
      </c>
      <c r="L896" s="140">
        <v>5.7064899999999996</v>
      </c>
    </row>
    <row r="897" spans="1:12" ht="42">
      <c r="A897" s="138" t="s">
        <v>3336</v>
      </c>
      <c r="B897" s="135" t="s">
        <v>3339</v>
      </c>
      <c r="C897" s="136" t="s">
        <v>1147</v>
      </c>
      <c r="D897" s="136" t="s">
        <v>1145</v>
      </c>
      <c r="E897" s="138" t="s">
        <v>1571</v>
      </c>
      <c r="F897" s="420">
        <v>43100</v>
      </c>
      <c r="G897" s="141">
        <v>82.416200000000003</v>
      </c>
      <c r="H897" s="141">
        <v>3</v>
      </c>
      <c r="I897" s="141">
        <v>0.10646000000000001</v>
      </c>
      <c r="J897" s="141">
        <v>0.33714000000000005</v>
      </c>
      <c r="K897" s="141">
        <v>72.093190000000007</v>
      </c>
      <c r="L897" s="141">
        <v>74.791270000000011</v>
      </c>
    </row>
    <row r="898" spans="1:12">
      <c r="A898" s="136" t="s">
        <v>3338</v>
      </c>
      <c r="B898" s="137" t="s">
        <v>3341</v>
      </c>
      <c r="C898" s="138" t="s">
        <v>954</v>
      </c>
      <c r="D898" s="138" t="s">
        <v>811</v>
      </c>
      <c r="E898" s="136" t="s">
        <v>1571</v>
      </c>
      <c r="F898" s="419">
        <v>43100</v>
      </c>
      <c r="G898" s="140">
        <v>78.705629999999999</v>
      </c>
      <c r="H898" s="140">
        <v>1</v>
      </c>
      <c r="I898" s="140">
        <v>4.4416600000000006</v>
      </c>
      <c r="J898" s="140">
        <v>22.253720000000001</v>
      </c>
      <c r="K898" s="140">
        <v>12</v>
      </c>
      <c r="L898" s="140">
        <v>41.723879000000004</v>
      </c>
    </row>
    <row r="899" spans="1:12" ht="52.5">
      <c r="A899" s="138" t="s">
        <v>3340</v>
      </c>
      <c r="B899" s="135" t="s">
        <v>3343</v>
      </c>
      <c r="C899" s="136" t="s">
        <v>810</v>
      </c>
      <c r="D899" s="136" t="s">
        <v>811</v>
      </c>
      <c r="E899" s="138" t="s">
        <v>1571</v>
      </c>
      <c r="F899" s="420">
        <v>43100</v>
      </c>
      <c r="G899" s="141">
        <v>78.314939999999993</v>
      </c>
      <c r="H899" s="141">
        <v>1</v>
      </c>
      <c r="I899" s="142" t="s">
        <v>189</v>
      </c>
      <c r="J899" s="141">
        <v>-12.260359999999999</v>
      </c>
      <c r="K899" s="141">
        <v>15.27516</v>
      </c>
      <c r="L899" s="141">
        <v>4.0407489999999999</v>
      </c>
    </row>
    <row r="900" spans="1:12" ht="52.5">
      <c r="A900" s="136" t="s">
        <v>3342</v>
      </c>
      <c r="B900" s="137" t="s">
        <v>3345</v>
      </c>
      <c r="C900" s="138" t="s">
        <v>1280</v>
      </c>
      <c r="D900" s="138" t="s">
        <v>1266</v>
      </c>
      <c r="E900" s="136" t="s">
        <v>1571</v>
      </c>
      <c r="F900" s="419">
        <v>43100</v>
      </c>
      <c r="G900" s="140">
        <v>75.486310000000003</v>
      </c>
      <c r="H900" s="140">
        <v>1</v>
      </c>
      <c r="I900" s="143" t="s">
        <v>189</v>
      </c>
      <c r="J900" s="140">
        <v>-2.2054700000000005</v>
      </c>
      <c r="K900" s="140">
        <v>42.844810000000003</v>
      </c>
      <c r="L900" s="140">
        <v>41.4482</v>
      </c>
    </row>
    <row r="901" spans="1:12" ht="31.5">
      <c r="A901" s="138" t="s">
        <v>3344</v>
      </c>
      <c r="B901" s="135" t="s">
        <v>3347</v>
      </c>
      <c r="C901" s="136" t="s">
        <v>919</v>
      </c>
      <c r="D901" s="136" t="s">
        <v>811</v>
      </c>
      <c r="E901" s="138" t="s">
        <v>1571</v>
      </c>
      <c r="F901" s="420">
        <v>43100</v>
      </c>
      <c r="G901" s="141">
        <v>75.370670000000018</v>
      </c>
      <c r="H901" s="142" t="s">
        <v>189</v>
      </c>
      <c r="I901" s="142" t="s">
        <v>189</v>
      </c>
      <c r="J901" s="141">
        <v>4.8667899999999999</v>
      </c>
      <c r="K901" s="141">
        <v>17.820709999999998</v>
      </c>
      <c r="L901" s="141">
        <v>36.414080000000006</v>
      </c>
    </row>
    <row r="902" spans="1:12" ht="63">
      <c r="A902" s="136" t="s">
        <v>3346</v>
      </c>
      <c r="B902" s="137" t="s">
        <v>3349</v>
      </c>
      <c r="C902" s="138" t="s">
        <v>862</v>
      </c>
      <c r="D902" s="138" t="s">
        <v>811</v>
      </c>
      <c r="E902" s="136" t="s">
        <v>1571</v>
      </c>
      <c r="F902" s="419">
        <v>43100</v>
      </c>
      <c r="G902" s="140">
        <v>73.541989999999998</v>
      </c>
      <c r="H902" s="140">
        <v>2</v>
      </c>
      <c r="I902" s="140">
        <v>0.98260000000000003</v>
      </c>
      <c r="J902" s="140">
        <v>3.1115300000000001</v>
      </c>
      <c r="K902" s="140">
        <v>28.634640000000001</v>
      </c>
      <c r="L902" s="140">
        <v>39.317239999999998</v>
      </c>
    </row>
    <row r="903" spans="1:12" ht="42">
      <c r="A903" s="138" t="s">
        <v>3348</v>
      </c>
      <c r="B903" s="135" t="s">
        <v>3351</v>
      </c>
      <c r="C903" s="136" t="s">
        <v>1282</v>
      </c>
      <c r="D903" s="136" t="s">
        <v>1266</v>
      </c>
      <c r="E903" s="138" t="s">
        <v>1571</v>
      </c>
      <c r="F903" s="420">
        <v>43100</v>
      </c>
      <c r="G903" s="141">
        <v>72.428239999999988</v>
      </c>
      <c r="H903" s="141">
        <v>1</v>
      </c>
      <c r="I903" s="141">
        <v>7.2057699999999993</v>
      </c>
      <c r="J903" s="141">
        <v>22.818280000000001</v>
      </c>
      <c r="K903" s="141">
        <v>24</v>
      </c>
      <c r="L903" s="141">
        <v>55.894069999999999</v>
      </c>
    </row>
    <row r="904" spans="1:12" ht="31.5">
      <c r="A904" s="136" t="s">
        <v>3350</v>
      </c>
      <c r="B904" s="137" t="s">
        <v>3353</v>
      </c>
      <c r="C904" s="138" t="s">
        <v>1004</v>
      </c>
      <c r="D904" s="138" t="s">
        <v>975</v>
      </c>
      <c r="E904" s="136" t="s">
        <v>1571</v>
      </c>
      <c r="F904" s="419">
        <v>39082</v>
      </c>
      <c r="G904" s="140">
        <v>67.405060000000006</v>
      </c>
      <c r="H904" s="140">
        <v>1</v>
      </c>
      <c r="I904" s="140">
        <v>0.88244</v>
      </c>
      <c r="J904" s="140">
        <v>2.05904</v>
      </c>
      <c r="K904" s="140">
        <v>10.609680000000001</v>
      </c>
      <c r="L904" s="140">
        <v>20.825680000000002</v>
      </c>
    </row>
    <row r="905" spans="1:12" ht="21">
      <c r="A905" s="138" t="s">
        <v>3352</v>
      </c>
      <c r="B905" s="421" t="s">
        <v>3355</v>
      </c>
      <c r="C905" s="136" t="s">
        <v>815</v>
      </c>
      <c r="D905" s="136" t="s">
        <v>811</v>
      </c>
      <c r="E905" s="138" t="s">
        <v>1571</v>
      </c>
      <c r="F905" s="420">
        <v>43100</v>
      </c>
      <c r="G905" s="141">
        <v>60.923000000000002</v>
      </c>
      <c r="H905" s="141">
        <v>1</v>
      </c>
      <c r="I905" s="142" t="s">
        <v>189</v>
      </c>
      <c r="J905" s="141">
        <v>1.60155</v>
      </c>
      <c r="K905" s="141">
        <v>27.252299999999998</v>
      </c>
      <c r="L905" s="141">
        <v>28.853849999999998</v>
      </c>
    </row>
    <row r="906" spans="1:12" ht="42">
      <c r="A906" s="136" t="s">
        <v>3354</v>
      </c>
      <c r="B906" s="139" t="s">
        <v>3357</v>
      </c>
      <c r="C906" s="138" t="s">
        <v>861</v>
      </c>
      <c r="D906" s="138" t="s">
        <v>811</v>
      </c>
      <c r="E906" s="136" t="s">
        <v>1571</v>
      </c>
      <c r="F906" s="419">
        <v>41639</v>
      </c>
      <c r="G906" s="140">
        <v>58.878500000000003</v>
      </c>
      <c r="H906" s="143" t="s">
        <v>189</v>
      </c>
      <c r="I906" s="140">
        <v>0.95343999999999995</v>
      </c>
      <c r="J906" s="140">
        <v>3.0192199999999998</v>
      </c>
      <c r="K906" s="140">
        <v>15.33675</v>
      </c>
      <c r="L906" s="140">
        <v>20.422129999999999</v>
      </c>
    </row>
    <row r="907" spans="1:12" ht="42">
      <c r="A907" s="138" t="s">
        <v>3356</v>
      </c>
      <c r="B907" s="135" t="s">
        <v>3359</v>
      </c>
      <c r="C907" s="136" t="s">
        <v>1402</v>
      </c>
      <c r="D907" s="136" t="s">
        <v>1404</v>
      </c>
      <c r="E907" s="138" t="s">
        <v>1571</v>
      </c>
      <c r="F907" s="420">
        <v>43100</v>
      </c>
      <c r="G907" s="141">
        <v>55.938499999999998</v>
      </c>
      <c r="H907" s="141">
        <v>1</v>
      </c>
      <c r="I907" s="141"/>
      <c r="J907" s="141">
        <v>-5.2043200000000009</v>
      </c>
      <c r="K907" s="141">
        <v>32.38984</v>
      </c>
      <c r="L907" s="141">
        <v>29.239218999999999</v>
      </c>
    </row>
    <row r="908" spans="1:12" ht="31.5">
      <c r="A908" s="136" t="s">
        <v>3358</v>
      </c>
      <c r="B908" s="137" t="s">
        <v>3361</v>
      </c>
      <c r="C908" s="138" t="s">
        <v>943</v>
      </c>
      <c r="D908" s="138" t="s">
        <v>811</v>
      </c>
      <c r="E908" s="136" t="s">
        <v>1571</v>
      </c>
      <c r="F908" s="419">
        <v>43100</v>
      </c>
      <c r="G908" s="140">
        <v>55.166699999999999</v>
      </c>
      <c r="H908" s="140">
        <v>1</v>
      </c>
      <c r="I908" s="140">
        <v>1.1041599999999998</v>
      </c>
      <c r="J908" s="140">
        <v>3.4965000000000002</v>
      </c>
      <c r="K908" s="140">
        <v>21.99999</v>
      </c>
      <c r="L908" s="140">
        <v>27.33427</v>
      </c>
    </row>
    <row r="909" spans="1:12">
      <c r="A909" s="138" t="s">
        <v>3360</v>
      </c>
      <c r="B909" s="135" t="s">
        <v>3363</v>
      </c>
      <c r="C909" s="136" t="s">
        <v>1014</v>
      </c>
      <c r="D909" s="136" t="s">
        <v>1013</v>
      </c>
      <c r="E909" s="138" t="s">
        <v>1571</v>
      </c>
      <c r="F909" s="420">
        <v>43100</v>
      </c>
      <c r="G909" s="141">
        <v>40.075950000000006</v>
      </c>
      <c r="H909" s="141">
        <v>1</v>
      </c>
      <c r="I909" s="142" t="s">
        <v>189</v>
      </c>
      <c r="J909" s="141">
        <v>0.7591</v>
      </c>
      <c r="K909" s="141">
        <v>13.0206</v>
      </c>
      <c r="L909" s="141">
        <v>16.881349999999998</v>
      </c>
    </row>
    <row r="910" spans="1:12" ht="21">
      <c r="A910" s="136" t="s">
        <v>3362</v>
      </c>
      <c r="B910" s="137" t="s">
        <v>3365</v>
      </c>
      <c r="C910" s="138" t="s">
        <v>1559</v>
      </c>
      <c r="D910" s="138" t="s">
        <v>1279</v>
      </c>
      <c r="E910" s="136" t="s">
        <v>1571</v>
      </c>
      <c r="F910" s="419">
        <v>43100</v>
      </c>
      <c r="G910" s="140">
        <v>30.506240000000002</v>
      </c>
      <c r="H910" s="143" t="s">
        <v>189</v>
      </c>
      <c r="I910" s="143" t="s">
        <v>189</v>
      </c>
      <c r="J910" s="140">
        <v>0.82617000000000007</v>
      </c>
      <c r="K910" s="143" t="s">
        <v>189</v>
      </c>
      <c r="L910" s="140">
        <v>2.1199390000000005</v>
      </c>
    </row>
    <row r="911" spans="1:12" ht="42">
      <c r="A911" s="138" t="s">
        <v>3364</v>
      </c>
      <c r="B911" s="135" t="s">
        <v>3367</v>
      </c>
      <c r="C911" s="136" t="s">
        <v>857</v>
      </c>
      <c r="D911" s="136" t="s">
        <v>1145</v>
      </c>
      <c r="E911" s="138" t="s">
        <v>1571</v>
      </c>
      <c r="F911" s="420">
        <v>42369</v>
      </c>
      <c r="G911" s="141">
        <v>26.182560000000002</v>
      </c>
      <c r="H911" s="142" t="s">
        <v>189</v>
      </c>
      <c r="I911" s="141"/>
      <c r="J911" s="141">
        <v>-3.4375</v>
      </c>
      <c r="K911" s="141">
        <v>8.3747600000000002</v>
      </c>
      <c r="L911" s="141">
        <v>3.8786300000000002</v>
      </c>
    </row>
    <row r="912" spans="1:12" ht="42">
      <c r="A912" s="136" t="s">
        <v>3366</v>
      </c>
      <c r="B912" s="137" t="s">
        <v>3369</v>
      </c>
      <c r="C912" s="138" t="s">
        <v>1172</v>
      </c>
      <c r="D912" s="138" t="s">
        <v>1168</v>
      </c>
      <c r="E912" s="136" t="s">
        <v>1571</v>
      </c>
      <c r="F912" s="419">
        <v>43100</v>
      </c>
      <c r="G912" s="140">
        <v>21.22297</v>
      </c>
      <c r="H912" s="143" t="s">
        <v>189</v>
      </c>
      <c r="I912" s="143" t="s">
        <v>189</v>
      </c>
      <c r="J912" s="140">
        <v>-19.971160000000001</v>
      </c>
      <c r="K912" s="143" t="s">
        <v>189</v>
      </c>
      <c r="L912" s="140">
        <v>-19.624140000000001</v>
      </c>
    </row>
    <row r="913" spans="1:12" ht="21">
      <c r="A913" s="138" t="s">
        <v>3368</v>
      </c>
      <c r="B913" s="135" t="s">
        <v>3371</v>
      </c>
      <c r="C913" s="136" t="s">
        <v>963</v>
      </c>
      <c r="D913" s="136" t="s">
        <v>811</v>
      </c>
      <c r="E913" s="138" t="s">
        <v>1571</v>
      </c>
      <c r="F913" s="420">
        <v>43100</v>
      </c>
      <c r="G913" s="141">
        <v>16.193000000000001</v>
      </c>
      <c r="H913" s="142" t="s">
        <v>189</v>
      </c>
      <c r="I913" s="141">
        <v>2.172E-2</v>
      </c>
      <c r="J913" s="141">
        <v>9.1400000000000009E-2</v>
      </c>
      <c r="K913" s="142" t="s">
        <v>189</v>
      </c>
      <c r="L913" s="141">
        <v>0.260519</v>
      </c>
    </row>
    <row r="914" spans="1:12" ht="21">
      <c r="A914" s="136" t="s">
        <v>3370</v>
      </c>
      <c r="B914" s="137" t="s">
        <v>3373</v>
      </c>
      <c r="C914" s="138" t="s">
        <v>621</v>
      </c>
      <c r="D914" s="138" t="s">
        <v>596</v>
      </c>
      <c r="E914" s="136" t="s">
        <v>1571</v>
      </c>
      <c r="F914" s="419">
        <v>43100</v>
      </c>
      <c r="G914" s="140">
        <v>5.0500699999999998</v>
      </c>
      <c r="H914" s="143" t="s">
        <v>189</v>
      </c>
      <c r="I914" s="143" t="s">
        <v>189</v>
      </c>
      <c r="J914" s="140">
        <v>-11.43347</v>
      </c>
      <c r="K914" s="140">
        <v>13.45533</v>
      </c>
      <c r="L914" s="140">
        <v>2.13775</v>
      </c>
    </row>
    <row r="915" spans="1:12" ht="31.5">
      <c r="A915" s="138" t="s">
        <v>3372</v>
      </c>
      <c r="B915" s="135" t="s">
        <v>3375</v>
      </c>
      <c r="C915" s="136" t="s">
        <v>602</v>
      </c>
      <c r="D915" s="136" t="s">
        <v>596</v>
      </c>
      <c r="E915" s="138" t="s">
        <v>1571</v>
      </c>
      <c r="F915" s="420">
        <v>42004</v>
      </c>
      <c r="G915" s="142" t="s">
        <v>189</v>
      </c>
      <c r="H915" s="142" t="s">
        <v>189</v>
      </c>
      <c r="I915" s="142" t="s">
        <v>189</v>
      </c>
      <c r="J915" s="142" t="s">
        <v>189</v>
      </c>
      <c r="K915" s="142" t="s">
        <v>189</v>
      </c>
      <c r="L915" s="142" t="s">
        <v>189</v>
      </c>
    </row>
    <row r="916" spans="1:12">
      <c r="A916" s="136" t="s">
        <v>3374</v>
      </c>
      <c r="E916" s="136" t="s">
        <v>1571</v>
      </c>
      <c r="F916" s="419">
        <v>43100</v>
      </c>
      <c r="G916" s="143" t="s">
        <v>189</v>
      </c>
      <c r="H916" s="143" t="s">
        <v>189</v>
      </c>
      <c r="I916" s="143" t="s">
        <v>189</v>
      </c>
      <c r="J916" s="140">
        <v>-36.236780000000003</v>
      </c>
      <c r="K916" s="140">
        <v>9.3425200000000004</v>
      </c>
      <c r="L916" s="140">
        <v>-26.894260000000003</v>
      </c>
    </row>
  </sheetData>
  <mergeCells count="5">
    <mergeCell ref="B19:C19"/>
    <mergeCell ref="B15:D15"/>
    <mergeCell ref="B16:C16"/>
    <mergeCell ref="B17:C17"/>
    <mergeCell ref="B18:C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2:P591"/>
  <sheetViews>
    <sheetView showGridLines="0" topLeftCell="C1" zoomScale="50" zoomScaleNormal="50" workbookViewId="0">
      <selection activeCell="L16" sqref="L16"/>
    </sheetView>
  </sheetViews>
  <sheetFormatPr baseColWidth="10" defaultColWidth="11.42578125" defaultRowHeight="15"/>
  <cols>
    <col min="1" max="1" width="7" style="211" customWidth="1"/>
    <col min="2" max="9" width="17.28515625" style="211" customWidth="1"/>
    <col min="10" max="10" width="16.85546875" style="211" customWidth="1"/>
    <col min="11" max="11" width="13.42578125" style="211" customWidth="1"/>
    <col min="12" max="14" width="11.42578125" style="211"/>
    <col min="15" max="15" width="11.42578125" style="149"/>
    <col min="16" max="16384" width="11.42578125" style="211"/>
  </cols>
  <sheetData>
    <row r="2" spans="2:15" ht="25.5">
      <c r="B2" s="383" t="s">
        <v>0</v>
      </c>
      <c r="C2" s="384" t="s">
        <v>4114</v>
      </c>
      <c r="D2" s="384"/>
      <c r="E2" s="384" t="s">
        <v>15</v>
      </c>
      <c r="F2" s="384" t="s">
        <v>6</v>
      </c>
      <c r="G2" s="384" t="s">
        <v>9</v>
      </c>
      <c r="H2" s="384" t="s">
        <v>16</v>
      </c>
      <c r="I2" s="384" t="s">
        <v>20</v>
      </c>
      <c r="J2" s="384" t="s">
        <v>203</v>
      </c>
      <c r="K2" s="384" t="s">
        <v>3447</v>
      </c>
    </row>
    <row r="3" spans="2:15" ht="46.5" customHeight="1">
      <c r="B3" s="383" t="s">
        <v>1</v>
      </c>
      <c r="C3" s="397" t="s">
        <v>385</v>
      </c>
      <c r="D3" s="436" t="s">
        <v>4179</v>
      </c>
      <c r="E3" s="397" t="s">
        <v>3446</v>
      </c>
      <c r="F3" s="397" t="s">
        <v>7</v>
      </c>
      <c r="G3" s="397" t="s">
        <v>10</v>
      </c>
      <c r="H3" s="397" t="s">
        <v>13</v>
      </c>
      <c r="I3" s="397" t="s">
        <v>21</v>
      </c>
      <c r="J3" s="397"/>
      <c r="K3" s="397"/>
    </row>
    <row r="4" spans="2:15">
      <c r="B4" s="383" t="s">
        <v>2</v>
      </c>
      <c r="C4" s="398" t="s">
        <v>8</v>
      </c>
      <c r="D4" s="398"/>
      <c r="E4" s="398" t="s">
        <v>19</v>
      </c>
      <c r="F4" s="398">
        <v>0.35</v>
      </c>
      <c r="G4" s="498">
        <f>H14</f>
        <v>0.16</v>
      </c>
      <c r="H4" s="398" t="s">
        <v>19</v>
      </c>
      <c r="I4" s="398" t="s">
        <v>19</v>
      </c>
      <c r="J4" s="398" t="s">
        <v>19</v>
      </c>
      <c r="K4" s="398" t="s">
        <v>19</v>
      </c>
    </row>
    <row r="5" spans="2:15">
      <c r="B5" s="383" t="s">
        <v>4177</v>
      </c>
      <c r="C5" s="399">
        <f>'DATOS PyG'!B5</f>
        <v>74179988</v>
      </c>
      <c r="D5" s="399">
        <f>C5*J10</f>
        <v>31813597.498053078</v>
      </c>
      <c r="E5" s="399">
        <f>D5*E17</f>
        <v>21143213.248035435</v>
      </c>
      <c r="F5" s="399">
        <f>+E5*F4</f>
        <v>7400124.6368124019</v>
      </c>
      <c r="G5" s="399">
        <f>+E5*H14</f>
        <v>3382914.1196856694</v>
      </c>
      <c r="H5" s="399">
        <f>D5*E20</f>
        <v>1108079.2256009828</v>
      </c>
      <c r="I5" s="399">
        <f>D5*E18</f>
        <v>5007882.7164510135</v>
      </c>
      <c r="J5" s="399">
        <f>E5-(F5+G5)</f>
        <v>10360174.491537362</v>
      </c>
      <c r="K5" s="399">
        <f>D5-(E5+H5+I5)</f>
        <v>4554422.3079656474</v>
      </c>
      <c r="L5" s="6">
        <f>E5+H5+I5+K5</f>
        <v>31813597.498053078</v>
      </c>
    </row>
    <row r="6" spans="2:15">
      <c r="C6" s="387"/>
      <c r="D6" s="387" t="s">
        <v>506</v>
      </c>
      <c r="E6" s="387" t="s">
        <v>507</v>
      </c>
      <c r="F6" s="387" t="s">
        <v>514</v>
      </c>
      <c r="G6" s="387" t="s">
        <v>515</v>
      </c>
      <c r="H6" s="387" t="s">
        <v>510</v>
      </c>
      <c r="I6" s="387" t="s">
        <v>512</v>
      </c>
      <c r="J6" s="387" t="s">
        <v>3449</v>
      </c>
      <c r="K6" s="387" t="s">
        <v>3450</v>
      </c>
    </row>
    <row r="7" spans="2:15" ht="25.5">
      <c r="B7" s="383" t="s">
        <v>4178</v>
      </c>
      <c r="C7" s="627">
        <f>D7/D5</f>
        <v>0.31332498988981827</v>
      </c>
      <c r="D7" s="626">
        <f>F7+G7+H7+I7+J7+K7</f>
        <v>9967995.1144362278</v>
      </c>
      <c r="E7" s="626">
        <f>E5*F17</f>
        <v>5975946.8917942308</v>
      </c>
      <c r="F7" s="626">
        <f>+E7*F4</f>
        <v>2091581.4121279807</v>
      </c>
      <c r="G7" s="626">
        <f>G5/2</f>
        <v>1691457.0598428347</v>
      </c>
      <c r="H7" s="626">
        <f>H5*F20</f>
        <v>554039.61280049139</v>
      </c>
      <c r="I7" s="626">
        <f>I5*F18</f>
        <v>1415434.8633184314</v>
      </c>
      <c r="J7" s="626">
        <f>J5*F16</f>
        <v>2928213.9769791728</v>
      </c>
      <c r="K7" s="626">
        <f>K5*F21</f>
        <v>1287268.1893673157</v>
      </c>
      <c r="L7" s="6">
        <f>E7+H7+I7+K7</f>
        <v>9232689.5572804697</v>
      </c>
    </row>
    <row r="9" spans="2:15">
      <c r="B9" s="383" t="s">
        <v>523</v>
      </c>
      <c r="C9" s="388">
        <f>SUM(F5+G5+H5)</f>
        <v>11891117.982099054</v>
      </c>
      <c r="D9" s="400" t="s">
        <v>3388</v>
      </c>
      <c r="F9" s="384" t="s">
        <v>3385</v>
      </c>
      <c r="G9" s="437">
        <f>'EVA_Aplicación del VAB'!B5+'EVA_Aplicación del VAB'!B15+'EVA_Aplicación del VAB'!B16+'EVA_Aplicación del VAB'!B17</f>
        <v>40093460</v>
      </c>
      <c r="H9" s="384" t="s">
        <v>3386</v>
      </c>
      <c r="I9" s="438">
        <f>G9/G10</f>
        <v>12.533122850890903</v>
      </c>
      <c r="J9" s="384" t="s">
        <v>4102</v>
      </c>
    </row>
    <row r="10" spans="2:15" ht="15.75" customHeight="1">
      <c r="C10" s="3"/>
      <c r="D10" s="400"/>
      <c r="F10" s="397" t="s">
        <v>393</v>
      </c>
      <c r="G10" s="534">
        <f>DATOS!D24</f>
        <v>3199000</v>
      </c>
      <c r="H10" s="397" t="s">
        <v>3387</v>
      </c>
      <c r="I10" s="535">
        <f>DATOS!D21/DATOS!D22</f>
        <v>21.944444444444443</v>
      </c>
      <c r="J10" s="439">
        <f>1-(I9/I10)</f>
        <v>0.42887035109864236</v>
      </c>
    </row>
    <row r="11" spans="2:15">
      <c r="B11" s="383" t="s">
        <v>524</v>
      </c>
      <c r="C11" s="388">
        <f>D5</f>
        <v>31813597.498053078</v>
      </c>
      <c r="D11" s="400" t="s">
        <v>525</v>
      </c>
    </row>
    <row r="13" spans="2:15" ht="21">
      <c r="F13" s="429" t="s">
        <v>190</v>
      </c>
      <c r="G13" s="429" t="s">
        <v>3445</v>
      </c>
      <c r="H13" s="429" t="s">
        <v>3377</v>
      </c>
    </row>
    <row r="14" spans="2:15">
      <c r="F14" s="430">
        <f>G25</f>
        <v>44322.989874525134</v>
      </c>
      <c r="G14" s="430">
        <f>F14-(F14*33%)</f>
        <v>29696.403215931838</v>
      </c>
      <c r="H14" s="431">
        <v>0.16</v>
      </c>
    </row>
    <row r="15" spans="2:15" ht="17.25">
      <c r="B15" s="738" t="s">
        <v>518</v>
      </c>
      <c r="C15" s="739"/>
      <c r="D15" s="740"/>
      <c r="E15" s="491" t="s">
        <v>3448</v>
      </c>
      <c r="F15" s="617" t="s">
        <v>4175</v>
      </c>
      <c r="G15" s="401"/>
      <c r="N15" s="149"/>
      <c r="O15" s="211"/>
    </row>
    <row r="16" spans="2:15" ht="15" customHeight="1">
      <c r="B16" s="737" t="s">
        <v>3</v>
      </c>
      <c r="C16" s="737"/>
      <c r="D16" s="625">
        <f>L25</f>
        <v>0.27233405337555366</v>
      </c>
      <c r="E16" s="490">
        <v>1</v>
      </c>
      <c r="F16" s="616">
        <f>O$25</f>
        <v>0.28264137629834946</v>
      </c>
      <c r="G16" s="401"/>
      <c r="N16" s="149"/>
      <c r="O16" s="211"/>
    </row>
    <row r="17" spans="1:16" ht="15" customHeight="1">
      <c r="B17" s="737" t="s">
        <v>15</v>
      </c>
      <c r="C17" s="737"/>
      <c r="D17" s="625">
        <f>K25</f>
        <v>0.18099232460502379</v>
      </c>
      <c r="E17" s="490">
        <f>(D17*$E$16)/$D$16</f>
        <v>0.66459674198522667</v>
      </c>
      <c r="F17" s="616">
        <f>O$25</f>
        <v>0.28264137629834946</v>
      </c>
      <c r="G17" s="401"/>
      <c r="N17" s="149"/>
      <c r="O17" s="211"/>
    </row>
    <row r="18" spans="1:16">
      <c r="B18" s="737" t="s">
        <v>387</v>
      </c>
      <c r="C18" s="737"/>
      <c r="D18" s="625">
        <f>J25</f>
        <v>4.2868996474980409E-2</v>
      </c>
      <c r="E18" s="490">
        <f t="shared" ref="E18:E21" si="0">(D18*$E$16)/$D$16</f>
        <v>0.1574132795499624</v>
      </c>
      <c r="F18" s="616">
        <f>O$25</f>
        <v>0.28264137629834946</v>
      </c>
      <c r="G18" s="3"/>
      <c r="N18" s="149"/>
      <c r="O18" s="211"/>
    </row>
    <row r="19" spans="1:16" ht="15" customHeight="1">
      <c r="B19" s="737" t="s">
        <v>11</v>
      </c>
      <c r="C19" s="737"/>
      <c r="D19" s="625">
        <f>[2]DATOS!E37</f>
        <v>0.21</v>
      </c>
      <c r="E19" s="490">
        <f t="shared" si="0"/>
        <v>0.77111179228991289</v>
      </c>
      <c r="F19" s="211">
        <v>0.5</v>
      </c>
      <c r="G19" s="401"/>
      <c r="N19" s="149"/>
      <c r="O19" s="211"/>
    </row>
    <row r="20" spans="1:16">
      <c r="B20" s="737" t="s">
        <v>388</v>
      </c>
      <c r="C20" s="737"/>
      <c r="D20" s="625">
        <f>I25</f>
        <v>9.4854945904067518E-3</v>
      </c>
      <c r="E20" s="490">
        <f t="shared" si="0"/>
        <v>3.4830365401737257E-2</v>
      </c>
      <c r="F20" s="211">
        <v>0.5</v>
      </c>
      <c r="G20" s="3"/>
      <c r="N20" s="149"/>
      <c r="O20" s="211"/>
    </row>
    <row r="21" spans="1:16" ht="15" customHeight="1">
      <c r="B21" s="737" t="s">
        <v>3447</v>
      </c>
      <c r="C21" s="737"/>
      <c r="D21" s="625">
        <f>D16-(D17+D18+D20)</f>
        <v>3.8987237705142702E-2</v>
      </c>
      <c r="E21" s="490">
        <f t="shared" si="0"/>
        <v>0.14315961306307362</v>
      </c>
      <c r="F21" s="616">
        <f>F18</f>
        <v>0.28264137629834946</v>
      </c>
      <c r="N21" s="149"/>
      <c r="O21" s="211"/>
    </row>
    <row r="23" spans="1:16" s="382" customFormat="1" ht="12.75">
      <c r="B23" s="213" t="s">
        <v>101</v>
      </c>
      <c r="C23" s="213" t="s">
        <v>102</v>
      </c>
      <c r="D23" s="213" t="s">
        <v>103</v>
      </c>
      <c r="O23" s="619"/>
    </row>
    <row r="24" spans="1:16" s="382" customFormat="1" ht="54">
      <c r="A24" s="212"/>
      <c r="B24" s="423"/>
      <c r="C24" s="423"/>
      <c r="D24" s="423"/>
      <c r="E24" s="213" t="s">
        <v>104</v>
      </c>
      <c r="F24" s="214" t="s">
        <v>1568</v>
      </c>
      <c r="G24" s="214" t="s">
        <v>105</v>
      </c>
      <c r="H24" s="214" t="s">
        <v>106</v>
      </c>
      <c r="I24" s="214" t="s">
        <v>1569</v>
      </c>
      <c r="J24" s="214" t="s">
        <v>1570</v>
      </c>
      <c r="K24" s="214" t="s">
        <v>107</v>
      </c>
      <c r="L24" s="214" t="s">
        <v>108</v>
      </c>
      <c r="M24" s="618" t="s">
        <v>4170</v>
      </c>
      <c r="N24" s="618" t="s">
        <v>4171</v>
      </c>
      <c r="O24" s="620" t="s">
        <v>4172</v>
      </c>
      <c r="P24" s="214" t="s">
        <v>4174</v>
      </c>
    </row>
    <row r="25" spans="1:16" s="406" customFormat="1">
      <c r="A25" s="422"/>
      <c r="B25" s="423"/>
      <c r="C25" s="423"/>
      <c r="D25" s="423"/>
      <c r="E25" s="423"/>
      <c r="F25" s="424"/>
      <c r="G25" s="427">
        <f>(K26/H26)*1000</f>
        <v>44322.989874525134</v>
      </c>
      <c r="H25" s="426"/>
      <c r="I25" s="426">
        <f t="shared" ref="I25:K25" si="1">I26/$G26</f>
        <v>9.4854945904067518E-3</v>
      </c>
      <c r="J25" s="426">
        <f t="shared" si="1"/>
        <v>4.2868996474980409E-2</v>
      </c>
      <c r="K25" s="426">
        <f t="shared" si="1"/>
        <v>0.18099232460502379</v>
      </c>
      <c r="L25" s="426">
        <f>L26/$G26</f>
        <v>0.27233405337555366</v>
      </c>
      <c r="M25" s="424"/>
      <c r="N25" s="424"/>
      <c r="O25" s="621">
        <f>P25/K26</f>
        <v>0.28264137629834946</v>
      </c>
      <c r="P25" s="624">
        <f>SUM(P27:P500)</f>
        <v>643074.71496578434</v>
      </c>
    </row>
    <row r="26" spans="1:16" s="406" customFormat="1">
      <c r="A26" s="422"/>
      <c r="B26" s="135"/>
      <c r="C26" s="136"/>
      <c r="D26" s="136"/>
      <c r="E26" s="423"/>
      <c r="F26" s="424"/>
      <c r="G26" s="425">
        <f>SUM(G33:G899)</f>
        <v>12570875.832409997</v>
      </c>
      <c r="H26" s="425">
        <f t="shared" ref="H26:L26" si="2">SUM(H33:H899)</f>
        <v>51333</v>
      </c>
      <c r="I26" s="425">
        <f t="shared" si="2"/>
        <v>119240.974705</v>
      </c>
      <c r="J26" s="425">
        <f t="shared" si="2"/>
        <v>538900.83174700057</v>
      </c>
      <c r="K26" s="425">
        <f t="shared" si="2"/>
        <v>2275232.0392289986</v>
      </c>
      <c r="L26" s="425">
        <f t="shared" si="2"/>
        <v>3423477.5699210018</v>
      </c>
      <c r="M26" s="424"/>
      <c r="N26" s="424"/>
      <c r="O26" s="622"/>
    </row>
    <row r="27" spans="1:16" s="382" customFormat="1" ht="29.45" customHeight="1">
      <c r="A27" s="136" t="s">
        <v>3459</v>
      </c>
      <c r="B27" s="135" t="s">
        <v>3460</v>
      </c>
      <c r="C27" s="136" t="s">
        <v>3461</v>
      </c>
      <c r="D27" s="136" t="s">
        <v>811</v>
      </c>
      <c r="E27" s="136" t="s">
        <v>1571</v>
      </c>
      <c r="F27" s="419">
        <v>43100</v>
      </c>
      <c r="G27" s="140">
        <v>2124712</v>
      </c>
      <c r="H27" s="140">
        <v>3795</v>
      </c>
      <c r="I27" s="140">
        <v>162693</v>
      </c>
      <c r="J27" s="140">
        <v>691064</v>
      </c>
      <c r="K27" s="140">
        <v>391247</v>
      </c>
      <c r="L27" s="140">
        <v>1882525</v>
      </c>
      <c r="M27" s="140">
        <v>393</v>
      </c>
      <c r="N27" s="140">
        <v>3403</v>
      </c>
      <c r="O27" s="623">
        <f t="shared" ref="O27:O90" si="3">M27/(M27+N27)</f>
        <v>0.10353003161222339</v>
      </c>
      <c r="P27" s="140">
        <f>O27*K27</f>
        <v>40505.814278187565</v>
      </c>
    </row>
    <row r="28" spans="1:16" s="382" customFormat="1" ht="17.100000000000001" customHeight="1">
      <c r="A28" s="138" t="s">
        <v>3462</v>
      </c>
      <c r="B28" s="137" t="s">
        <v>3463</v>
      </c>
      <c r="C28" s="138" t="s">
        <v>3464</v>
      </c>
      <c r="D28" s="138" t="s">
        <v>1184</v>
      </c>
      <c r="E28" s="138" t="s">
        <v>1571</v>
      </c>
      <c r="F28" s="420">
        <v>42766</v>
      </c>
      <c r="G28" s="141">
        <v>1950860</v>
      </c>
      <c r="H28" s="141">
        <v>11172</v>
      </c>
      <c r="I28" s="141">
        <v>11823</v>
      </c>
      <c r="J28" s="141">
        <v>1543</v>
      </c>
      <c r="K28" s="141">
        <v>246889</v>
      </c>
      <c r="L28" s="141">
        <v>344412</v>
      </c>
      <c r="M28" s="142"/>
      <c r="N28" s="142"/>
      <c r="O28" s="623" t="e">
        <f t="shared" si="3"/>
        <v>#DIV/0!</v>
      </c>
      <c r="P28" s="140"/>
    </row>
    <row r="29" spans="1:16" s="382" customFormat="1" ht="29.45" customHeight="1">
      <c r="A29" s="136" t="s">
        <v>3465</v>
      </c>
      <c r="B29" s="135" t="s">
        <v>3466</v>
      </c>
      <c r="C29" s="136" t="s">
        <v>3467</v>
      </c>
      <c r="D29" s="136" t="s">
        <v>3468</v>
      </c>
      <c r="E29" s="136" t="s">
        <v>1571</v>
      </c>
      <c r="F29" s="419">
        <v>43008</v>
      </c>
      <c r="G29" s="140">
        <v>1771927</v>
      </c>
      <c r="H29" s="140">
        <v>1001</v>
      </c>
      <c r="I29" s="140">
        <v>14855</v>
      </c>
      <c r="J29" s="140">
        <v>179867</v>
      </c>
      <c r="K29" s="140">
        <v>73341</v>
      </c>
      <c r="L29" s="140">
        <v>300103</v>
      </c>
      <c r="M29" s="140">
        <v>391</v>
      </c>
      <c r="N29" s="140">
        <v>610</v>
      </c>
      <c r="O29" s="623">
        <f t="shared" si="3"/>
        <v>0.39060939060939059</v>
      </c>
      <c r="P29" s="140">
        <f>O29*K29</f>
        <v>28647.683316683317</v>
      </c>
    </row>
    <row r="30" spans="1:16" s="382" customFormat="1" ht="55.7" customHeight="1">
      <c r="A30" s="138" t="s">
        <v>3469</v>
      </c>
      <c r="B30" s="137" t="s">
        <v>3470</v>
      </c>
      <c r="C30" s="138" t="s">
        <v>3471</v>
      </c>
      <c r="D30" s="138" t="s">
        <v>811</v>
      </c>
      <c r="E30" s="138" t="s">
        <v>1571</v>
      </c>
      <c r="F30" s="420">
        <v>43100</v>
      </c>
      <c r="G30" s="141">
        <v>1517222</v>
      </c>
      <c r="H30" s="142" t="s">
        <v>189</v>
      </c>
      <c r="I30" s="141">
        <v>-7996</v>
      </c>
      <c r="J30" s="141">
        <v>-23989</v>
      </c>
      <c r="K30" s="142" t="s">
        <v>189</v>
      </c>
      <c r="L30" s="141">
        <v>-30813</v>
      </c>
      <c r="M30" s="142"/>
      <c r="N30" s="142"/>
      <c r="O30" s="623" t="e">
        <f t="shared" si="3"/>
        <v>#DIV/0!</v>
      </c>
      <c r="P30" s="140"/>
    </row>
    <row r="31" spans="1:16" s="382" customFormat="1" ht="29.45" customHeight="1">
      <c r="A31" s="136" t="s">
        <v>3472</v>
      </c>
      <c r="B31" s="135" t="s">
        <v>3473</v>
      </c>
      <c r="C31" s="136" t="s">
        <v>3474</v>
      </c>
      <c r="D31" s="136" t="s">
        <v>188</v>
      </c>
      <c r="E31" s="136" t="s">
        <v>1571</v>
      </c>
      <c r="F31" s="419">
        <v>43008</v>
      </c>
      <c r="G31" s="140">
        <v>1249565.848</v>
      </c>
      <c r="H31" s="140">
        <v>3650</v>
      </c>
      <c r="I31" s="140">
        <v>6900.335</v>
      </c>
      <c r="J31" s="140">
        <v>29139.16</v>
      </c>
      <c r="K31" s="140">
        <v>122112.508</v>
      </c>
      <c r="L31" s="140">
        <v>183494.56599999999</v>
      </c>
      <c r="M31" s="140">
        <v>1887</v>
      </c>
      <c r="N31" s="140">
        <v>1772</v>
      </c>
      <c r="O31" s="623">
        <f t="shared" si="3"/>
        <v>0.51571467614102218</v>
      </c>
      <c r="P31" s="140">
        <f>O31*K31</f>
        <v>62975.21251598798</v>
      </c>
    </row>
    <row r="32" spans="1:16" s="382" customFormat="1" ht="17.100000000000001" customHeight="1">
      <c r="A32" s="138" t="s">
        <v>3475</v>
      </c>
      <c r="B32" s="137" t="s">
        <v>3476</v>
      </c>
      <c r="C32" s="138" t="s">
        <v>3477</v>
      </c>
      <c r="D32" s="138" t="s">
        <v>811</v>
      </c>
      <c r="E32" s="138" t="s">
        <v>1571</v>
      </c>
      <c r="F32" s="420">
        <v>43100</v>
      </c>
      <c r="G32" s="141">
        <v>1056075</v>
      </c>
      <c r="H32" s="141">
        <v>1020</v>
      </c>
      <c r="I32" s="141">
        <v>-85077</v>
      </c>
      <c r="J32" s="141">
        <v>-1343435</v>
      </c>
      <c r="K32" s="141">
        <v>108968</v>
      </c>
      <c r="L32" s="141">
        <v>-1015401</v>
      </c>
      <c r="M32" s="141">
        <v>73</v>
      </c>
      <c r="N32" s="141">
        <v>947</v>
      </c>
      <c r="O32" s="623">
        <f t="shared" si="3"/>
        <v>7.1568627450980388E-2</v>
      </c>
      <c r="P32" s="140">
        <f>O32*K32</f>
        <v>7798.6901960784307</v>
      </c>
    </row>
    <row r="33" spans="1:16" s="382" customFormat="1" ht="43.15" customHeight="1">
      <c r="A33" s="136" t="s">
        <v>3478</v>
      </c>
      <c r="B33" s="135" t="s">
        <v>3479</v>
      </c>
      <c r="C33" s="136" t="s">
        <v>3480</v>
      </c>
      <c r="D33" s="136" t="s">
        <v>1501</v>
      </c>
      <c r="E33" s="136" t="s">
        <v>1571</v>
      </c>
      <c r="F33" s="419">
        <v>43100</v>
      </c>
      <c r="G33" s="140">
        <v>877595.69500000007</v>
      </c>
      <c r="H33" s="140">
        <v>381</v>
      </c>
      <c r="I33" s="140">
        <v>50828.014000000003</v>
      </c>
      <c r="J33" s="140">
        <v>-28080.629000000001</v>
      </c>
      <c r="K33" s="140">
        <v>21376.720000000001</v>
      </c>
      <c r="L33" s="140">
        <v>55823.99</v>
      </c>
      <c r="M33" s="140">
        <v>60</v>
      </c>
      <c r="N33" s="140">
        <v>317</v>
      </c>
      <c r="O33" s="623">
        <f t="shared" si="3"/>
        <v>0.15915119363395225</v>
      </c>
      <c r="P33" s="140">
        <f>O33*K33</f>
        <v>3402.1305039787799</v>
      </c>
    </row>
    <row r="34" spans="1:16" s="382" customFormat="1" ht="29.45" customHeight="1">
      <c r="A34" s="138" t="s">
        <v>197</v>
      </c>
      <c r="B34" s="137" t="s">
        <v>3481</v>
      </c>
      <c r="C34" s="138" t="s">
        <v>3482</v>
      </c>
      <c r="D34" s="138" t="s">
        <v>1184</v>
      </c>
      <c r="E34" s="138" t="s">
        <v>1571</v>
      </c>
      <c r="F34" s="420">
        <v>42766</v>
      </c>
      <c r="G34" s="141">
        <v>841474</v>
      </c>
      <c r="H34" s="142" t="s">
        <v>189</v>
      </c>
      <c r="I34" s="142" t="s">
        <v>189</v>
      </c>
      <c r="J34" s="141">
        <v>219</v>
      </c>
      <c r="K34" s="142" t="s">
        <v>189</v>
      </c>
      <c r="L34" s="141">
        <v>3088</v>
      </c>
      <c r="M34" s="142"/>
      <c r="N34" s="142"/>
      <c r="O34" s="623" t="e">
        <f t="shared" si="3"/>
        <v>#DIV/0!</v>
      </c>
      <c r="P34" s="140"/>
    </row>
    <row r="35" spans="1:16" s="382" customFormat="1" ht="29.45" customHeight="1">
      <c r="A35" s="136" t="s">
        <v>198</v>
      </c>
      <c r="B35" s="135" t="s">
        <v>3483</v>
      </c>
      <c r="C35" s="136" t="s">
        <v>3484</v>
      </c>
      <c r="D35" s="136" t="s">
        <v>1279</v>
      </c>
      <c r="E35" s="136" t="s">
        <v>1571</v>
      </c>
      <c r="F35" s="419">
        <v>43100</v>
      </c>
      <c r="G35" s="140">
        <v>679740</v>
      </c>
      <c r="H35" s="140">
        <v>1732</v>
      </c>
      <c r="I35" s="143" t="s">
        <v>189</v>
      </c>
      <c r="J35" s="140">
        <v>58736</v>
      </c>
      <c r="K35" s="140">
        <v>100667</v>
      </c>
      <c r="L35" s="140">
        <v>183446</v>
      </c>
      <c r="M35" s="140">
        <v>122</v>
      </c>
      <c r="N35" s="140">
        <v>1630</v>
      </c>
      <c r="O35" s="623">
        <f t="shared" si="3"/>
        <v>6.9634703196347028E-2</v>
      </c>
      <c r="P35" s="140">
        <f>O35*K35</f>
        <v>7009.9166666666661</v>
      </c>
    </row>
    <row r="36" spans="1:16" s="382" customFormat="1" ht="43.15" customHeight="1">
      <c r="A36" s="138" t="s">
        <v>199</v>
      </c>
      <c r="B36" s="137" t="s">
        <v>3485</v>
      </c>
      <c r="C36" s="138" t="s">
        <v>3486</v>
      </c>
      <c r="D36" s="138" t="s">
        <v>1266</v>
      </c>
      <c r="E36" s="138" t="s">
        <v>1571</v>
      </c>
      <c r="F36" s="420">
        <v>43100</v>
      </c>
      <c r="G36" s="141">
        <v>584924</v>
      </c>
      <c r="H36" s="141">
        <v>807</v>
      </c>
      <c r="I36" s="141">
        <v>3138</v>
      </c>
      <c r="J36" s="141">
        <v>2741</v>
      </c>
      <c r="K36" s="141">
        <v>47826</v>
      </c>
      <c r="L36" s="141">
        <v>62525</v>
      </c>
      <c r="M36" s="141">
        <v>129</v>
      </c>
      <c r="N36" s="141">
        <v>678</v>
      </c>
      <c r="O36" s="623">
        <f t="shared" si="3"/>
        <v>0.15985130111524162</v>
      </c>
      <c r="P36" s="140">
        <f>O36*K36</f>
        <v>7645.048327137546</v>
      </c>
    </row>
    <row r="37" spans="1:16" s="382" customFormat="1" ht="17.100000000000001" customHeight="1">
      <c r="A37" s="136" t="s">
        <v>200</v>
      </c>
      <c r="B37" s="135" t="s">
        <v>3487</v>
      </c>
      <c r="C37" s="136" t="s">
        <v>3488</v>
      </c>
      <c r="D37" s="136" t="s">
        <v>1972</v>
      </c>
      <c r="E37" s="136" t="s">
        <v>1571</v>
      </c>
      <c r="F37" s="419">
        <v>43100</v>
      </c>
      <c r="G37" s="140">
        <v>452914</v>
      </c>
      <c r="H37" s="140">
        <v>134</v>
      </c>
      <c r="I37" s="140">
        <v>3899</v>
      </c>
      <c r="J37" s="140">
        <v>121653</v>
      </c>
      <c r="K37" s="140">
        <v>14025</v>
      </c>
      <c r="L37" s="140">
        <v>150709</v>
      </c>
      <c r="M37" s="143"/>
      <c r="N37" s="143"/>
      <c r="O37" s="623" t="e">
        <f t="shared" si="3"/>
        <v>#DIV/0!</v>
      </c>
      <c r="P37" s="140"/>
    </row>
    <row r="38" spans="1:16" s="382" customFormat="1" ht="29.45" customHeight="1">
      <c r="A38" s="138" t="s">
        <v>201</v>
      </c>
      <c r="B38" s="137" t="s">
        <v>3489</v>
      </c>
      <c r="C38" s="138" t="s">
        <v>3490</v>
      </c>
      <c r="D38" s="138" t="s">
        <v>596</v>
      </c>
      <c r="E38" s="138" t="s">
        <v>1571</v>
      </c>
      <c r="F38" s="420">
        <v>43100</v>
      </c>
      <c r="G38" s="141">
        <v>446892</v>
      </c>
      <c r="H38" s="141">
        <v>150</v>
      </c>
      <c r="I38" s="141">
        <v>13349</v>
      </c>
      <c r="J38" s="141">
        <v>70865</v>
      </c>
      <c r="K38" s="141">
        <v>16657</v>
      </c>
      <c r="L38" s="141">
        <v>119396</v>
      </c>
      <c r="M38" s="141">
        <v>56</v>
      </c>
      <c r="N38" s="141">
        <v>94</v>
      </c>
      <c r="O38" s="623">
        <f t="shared" si="3"/>
        <v>0.37333333333333335</v>
      </c>
      <c r="P38" s="140">
        <f t="shared" ref="P38:P44" si="4">O38*K38</f>
        <v>6218.6133333333337</v>
      </c>
    </row>
    <row r="39" spans="1:16" s="382" customFormat="1" ht="29.45" customHeight="1">
      <c r="A39" s="136" t="s">
        <v>1580</v>
      </c>
      <c r="B39" s="135" t="s">
        <v>3491</v>
      </c>
      <c r="C39" s="136" t="s">
        <v>3492</v>
      </c>
      <c r="D39" s="136" t="s">
        <v>1203</v>
      </c>
      <c r="E39" s="136" t="s">
        <v>1571</v>
      </c>
      <c r="F39" s="419">
        <v>43100</v>
      </c>
      <c r="G39" s="140">
        <v>278861.07199999999</v>
      </c>
      <c r="H39" s="140">
        <v>977</v>
      </c>
      <c r="I39" s="140">
        <v>-4958.0690000000004</v>
      </c>
      <c r="J39" s="140">
        <v>42180.762999999999</v>
      </c>
      <c r="K39" s="140">
        <v>49099.904999999999</v>
      </c>
      <c r="L39" s="140">
        <v>91779.116000000009</v>
      </c>
      <c r="M39" s="140">
        <v>173</v>
      </c>
      <c r="N39" s="140">
        <v>813</v>
      </c>
      <c r="O39" s="623">
        <f t="shared" si="3"/>
        <v>0.17545638945233266</v>
      </c>
      <c r="P39" s="140">
        <f t="shared" si="4"/>
        <v>8614.8920537525355</v>
      </c>
    </row>
    <row r="40" spans="1:16" s="382" customFormat="1" ht="29.45" customHeight="1">
      <c r="A40" s="138" t="s">
        <v>1582</v>
      </c>
      <c r="B40" s="137" t="s">
        <v>1586</v>
      </c>
      <c r="C40" s="138" t="s">
        <v>1083</v>
      </c>
      <c r="D40" s="138" t="s">
        <v>969</v>
      </c>
      <c r="E40" s="138" t="s">
        <v>1571</v>
      </c>
      <c r="F40" s="420">
        <v>43100</v>
      </c>
      <c r="G40" s="141">
        <v>265358.08199999999</v>
      </c>
      <c r="H40" s="141">
        <v>1765</v>
      </c>
      <c r="I40" s="141">
        <v>2188.9290000000001</v>
      </c>
      <c r="J40" s="141">
        <v>5111.6410000000005</v>
      </c>
      <c r="K40" s="141">
        <v>80056.224000000002</v>
      </c>
      <c r="L40" s="141">
        <v>114732.607</v>
      </c>
      <c r="M40" s="141">
        <v>293</v>
      </c>
      <c r="N40" s="141">
        <v>1373</v>
      </c>
      <c r="O40" s="623">
        <f t="shared" si="3"/>
        <v>0.1758703481392557</v>
      </c>
      <c r="P40" s="140">
        <f t="shared" si="4"/>
        <v>14079.515985594238</v>
      </c>
    </row>
    <row r="41" spans="1:16" s="382" customFormat="1" ht="29.45" customHeight="1">
      <c r="A41" s="136" t="s">
        <v>1585</v>
      </c>
      <c r="B41" s="135" t="s">
        <v>3493</v>
      </c>
      <c r="C41" s="136" t="s">
        <v>3494</v>
      </c>
      <c r="D41" s="136" t="s">
        <v>971</v>
      </c>
      <c r="E41" s="136" t="s">
        <v>1571</v>
      </c>
      <c r="F41" s="419">
        <v>43100</v>
      </c>
      <c r="G41" s="140">
        <v>241531.43900000001</v>
      </c>
      <c r="H41" s="140">
        <v>42</v>
      </c>
      <c r="I41" s="140">
        <v>1442.2809999999999</v>
      </c>
      <c r="J41" s="140">
        <v>3859.3490000000002</v>
      </c>
      <c r="K41" s="140">
        <v>2139.0619999999999</v>
      </c>
      <c r="L41" s="140">
        <v>7909.4030000000002</v>
      </c>
      <c r="M41" s="140">
        <v>8</v>
      </c>
      <c r="N41" s="140">
        <v>34</v>
      </c>
      <c r="O41" s="623">
        <f t="shared" si="3"/>
        <v>0.19047619047619047</v>
      </c>
      <c r="P41" s="140">
        <f t="shared" si="4"/>
        <v>407.44038095238091</v>
      </c>
    </row>
    <row r="42" spans="1:16" s="382" customFormat="1" ht="17.100000000000001" customHeight="1">
      <c r="A42" s="138" t="s">
        <v>1587</v>
      </c>
      <c r="B42" s="137" t="s">
        <v>3495</v>
      </c>
      <c r="C42" s="138" t="s">
        <v>3496</v>
      </c>
      <c r="D42" s="138" t="s">
        <v>3497</v>
      </c>
      <c r="E42" s="138" t="s">
        <v>1571</v>
      </c>
      <c r="F42" s="420">
        <v>43100</v>
      </c>
      <c r="G42" s="141">
        <v>240391</v>
      </c>
      <c r="H42" s="141">
        <v>1076</v>
      </c>
      <c r="I42" s="141">
        <v>345</v>
      </c>
      <c r="J42" s="141">
        <v>11706</v>
      </c>
      <c r="K42" s="141">
        <v>46997</v>
      </c>
      <c r="L42" s="141">
        <v>67270</v>
      </c>
      <c r="M42" s="141">
        <v>306</v>
      </c>
      <c r="N42" s="141">
        <v>783</v>
      </c>
      <c r="O42" s="623">
        <f t="shared" si="3"/>
        <v>0.28099173553719009</v>
      </c>
      <c r="P42" s="140">
        <f t="shared" si="4"/>
        <v>13205.768595041323</v>
      </c>
    </row>
    <row r="43" spans="1:16" s="382" customFormat="1" ht="29.45" customHeight="1">
      <c r="A43" s="136" t="s">
        <v>1589</v>
      </c>
      <c r="B43" s="135" t="s">
        <v>1594</v>
      </c>
      <c r="C43" s="136" t="s">
        <v>665</v>
      </c>
      <c r="D43" s="136" t="s">
        <v>1595</v>
      </c>
      <c r="E43" s="136" t="s">
        <v>1571</v>
      </c>
      <c r="F43" s="419">
        <v>43100</v>
      </c>
      <c r="G43" s="140">
        <v>219811.82816999999</v>
      </c>
      <c r="H43" s="140">
        <v>2288</v>
      </c>
      <c r="I43" s="140">
        <v>702.91451000000006</v>
      </c>
      <c r="J43" s="140">
        <v>6253.3565700000008</v>
      </c>
      <c r="K43" s="140">
        <v>55259.108070000002</v>
      </c>
      <c r="L43" s="140">
        <v>67680.850949000014</v>
      </c>
      <c r="M43" s="140">
        <v>857</v>
      </c>
      <c r="N43" s="140">
        <v>1544</v>
      </c>
      <c r="O43" s="623">
        <f t="shared" si="3"/>
        <v>0.35693461057892545</v>
      </c>
      <c r="P43" s="140">
        <f t="shared" si="4"/>
        <v>19723.888219904209</v>
      </c>
    </row>
    <row r="44" spans="1:16" s="382" customFormat="1" ht="17.100000000000001" customHeight="1">
      <c r="A44" s="138" t="s">
        <v>1591</v>
      </c>
      <c r="B44" s="137" t="s">
        <v>3498</v>
      </c>
      <c r="C44" s="138" t="s">
        <v>3499</v>
      </c>
      <c r="D44" s="138" t="s">
        <v>1788</v>
      </c>
      <c r="E44" s="138" t="s">
        <v>1571</v>
      </c>
      <c r="F44" s="420">
        <v>43100</v>
      </c>
      <c r="G44" s="141">
        <v>218517.98200000002</v>
      </c>
      <c r="H44" s="141">
        <v>665</v>
      </c>
      <c r="I44" s="141">
        <v>-181.77799999999999</v>
      </c>
      <c r="J44" s="141">
        <v>7194.6220000000003</v>
      </c>
      <c r="K44" s="141">
        <v>34828.813999999998</v>
      </c>
      <c r="L44" s="141">
        <v>44778.349000000002</v>
      </c>
      <c r="M44" s="141">
        <v>73</v>
      </c>
      <c r="N44" s="141">
        <v>592</v>
      </c>
      <c r="O44" s="623">
        <f t="shared" si="3"/>
        <v>0.10977443609022557</v>
      </c>
      <c r="P44" s="140">
        <f t="shared" si="4"/>
        <v>3823.3134165413535</v>
      </c>
    </row>
    <row r="45" spans="1:16" s="382" customFormat="1" ht="29.45" customHeight="1">
      <c r="A45" s="136" t="s">
        <v>1593</v>
      </c>
      <c r="B45" s="135" t="s">
        <v>3500</v>
      </c>
      <c r="C45" s="136" t="s">
        <v>3501</v>
      </c>
      <c r="D45" s="136" t="s">
        <v>641</v>
      </c>
      <c r="E45" s="136" t="s">
        <v>1571</v>
      </c>
      <c r="F45" s="419">
        <v>43100</v>
      </c>
      <c r="G45" s="140">
        <v>199108</v>
      </c>
      <c r="H45" s="140">
        <v>857</v>
      </c>
      <c r="I45" s="140">
        <v>-610</v>
      </c>
      <c r="J45" s="140">
        <v>-12509</v>
      </c>
      <c r="K45" s="140">
        <v>54972</v>
      </c>
      <c r="L45" s="140">
        <v>61213</v>
      </c>
      <c r="M45" s="143"/>
      <c r="N45" s="143"/>
      <c r="O45" s="623" t="e">
        <f t="shared" si="3"/>
        <v>#DIV/0!</v>
      </c>
      <c r="P45" s="140"/>
    </row>
    <row r="46" spans="1:16" s="382" customFormat="1" ht="17.100000000000001" customHeight="1">
      <c r="A46" s="138" t="s">
        <v>1596</v>
      </c>
      <c r="B46" s="137" t="s">
        <v>3502</v>
      </c>
      <c r="C46" s="138" t="s">
        <v>3503</v>
      </c>
      <c r="D46" s="138" t="s">
        <v>1461</v>
      </c>
      <c r="E46" s="138" t="s">
        <v>1571</v>
      </c>
      <c r="F46" s="420">
        <v>43100</v>
      </c>
      <c r="G46" s="141">
        <v>180520</v>
      </c>
      <c r="H46" s="141">
        <v>533</v>
      </c>
      <c r="I46" s="141">
        <v>2832</v>
      </c>
      <c r="J46" s="141">
        <v>38478</v>
      </c>
      <c r="K46" s="141">
        <v>39312</v>
      </c>
      <c r="L46" s="141">
        <v>90403</v>
      </c>
      <c r="M46" s="141">
        <v>67</v>
      </c>
      <c r="N46" s="141">
        <v>746</v>
      </c>
      <c r="O46" s="623">
        <f t="shared" si="3"/>
        <v>8.2410824108241076E-2</v>
      </c>
      <c r="P46" s="140">
        <f t="shared" ref="P46:P54" si="5">O46*K46</f>
        <v>3239.7343173431732</v>
      </c>
    </row>
    <row r="47" spans="1:16" s="382" customFormat="1" ht="17.100000000000001" customHeight="1">
      <c r="A47" s="136" t="s">
        <v>1598</v>
      </c>
      <c r="B47" s="135" t="s">
        <v>1604</v>
      </c>
      <c r="C47" s="136" t="s">
        <v>1410</v>
      </c>
      <c r="D47" s="136" t="s">
        <v>1409</v>
      </c>
      <c r="E47" s="136" t="s">
        <v>1571</v>
      </c>
      <c r="F47" s="419">
        <v>43100</v>
      </c>
      <c r="G47" s="140">
        <v>169577</v>
      </c>
      <c r="H47" s="140">
        <v>554</v>
      </c>
      <c r="I47" s="140">
        <v>58</v>
      </c>
      <c r="J47" s="140">
        <v>6441</v>
      </c>
      <c r="K47" s="140">
        <v>27889</v>
      </c>
      <c r="L47" s="140">
        <v>38665</v>
      </c>
      <c r="M47" s="140">
        <v>139</v>
      </c>
      <c r="N47" s="140">
        <v>415</v>
      </c>
      <c r="O47" s="623">
        <f t="shared" si="3"/>
        <v>0.25090252707581229</v>
      </c>
      <c r="P47" s="140">
        <f t="shared" si="5"/>
        <v>6997.4205776173285</v>
      </c>
    </row>
    <row r="48" spans="1:16" s="382" customFormat="1" ht="17.100000000000001" customHeight="1">
      <c r="A48" s="138" t="s">
        <v>1600</v>
      </c>
      <c r="B48" s="137" t="s">
        <v>1613</v>
      </c>
      <c r="C48" s="138" t="s">
        <v>743</v>
      </c>
      <c r="D48" s="138" t="s">
        <v>744</v>
      </c>
      <c r="E48" s="138" t="s">
        <v>1571</v>
      </c>
      <c r="F48" s="420">
        <v>43100</v>
      </c>
      <c r="G48" s="141">
        <v>154188</v>
      </c>
      <c r="H48" s="141">
        <v>864</v>
      </c>
      <c r="I48" s="141">
        <v>5</v>
      </c>
      <c r="J48" s="141">
        <v>11577</v>
      </c>
      <c r="K48" s="141">
        <v>39768</v>
      </c>
      <c r="L48" s="141">
        <v>54309</v>
      </c>
      <c r="M48" s="141">
        <v>150</v>
      </c>
      <c r="N48" s="141">
        <v>703</v>
      </c>
      <c r="O48" s="623">
        <f t="shared" si="3"/>
        <v>0.17584994138335286</v>
      </c>
      <c r="P48" s="140">
        <f t="shared" si="5"/>
        <v>6993.2004689331761</v>
      </c>
    </row>
    <row r="49" spans="1:16" s="382" customFormat="1" ht="17.100000000000001" customHeight="1">
      <c r="A49" s="136" t="s">
        <v>1603</v>
      </c>
      <c r="B49" s="135" t="s">
        <v>3504</v>
      </c>
      <c r="C49" s="136" t="s">
        <v>3505</v>
      </c>
      <c r="D49" s="136" t="s">
        <v>969</v>
      </c>
      <c r="E49" s="136" t="s">
        <v>1571</v>
      </c>
      <c r="F49" s="419">
        <v>42735</v>
      </c>
      <c r="G49" s="140">
        <v>148671</v>
      </c>
      <c r="H49" s="140">
        <v>646</v>
      </c>
      <c r="I49" s="140">
        <v>1169</v>
      </c>
      <c r="J49" s="140">
        <v>7973</v>
      </c>
      <c r="K49" s="140">
        <v>22338</v>
      </c>
      <c r="L49" s="140">
        <v>35634</v>
      </c>
      <c r="M49" s="140">
        <v>710</v>
      </c>
      <c r="N49" s="140">
        <v>156</v>
      </c>
      <c r="O49" s="623">
        <f t="shared" si="3"/>
        <v>0.81986143187066973</v>
      </c>
      <c r="P49" s="140">
        <f t="shared" si="5"/>
        <v>18314.064665127022</v>
      </c>
    </row>
    <row r="50" spans="1:16" s="382" customFormat="1" ht="29.45" customHeight="1">
      <c r="A50" s="138" t="s">
        <v>1605</v>
      </c>
      <c r="B50" s="137" t="s">
        <v>3506</v>
      </c>
      <c r="C50" s="138" t="s">
        <v>3507</v>
      </c>
      <c r="D50" s="138" t="s">
        <v>811</v>
      </c>
      <c r="E50" s="138" t="s">
        <v>1571</v>
      </c>
      <c r="F50" s="420">
        <v>43100</v>
      </c>
      <c r="G50" s="141">
        <v>142248</v>
      </c>
      <c r="H50" s="141">
        <v>708</v>
      </c>
      <c r="I50" s="141">
        <v>-119</v>
      </c>
      <c r="J50" s="141">
        <v>-4205</v>
      </c>
      <c r="K50" s="141">
        <v>17769</v>
      </c>
      <c r="L50" s="141">
        <v>19058</v>
      </c>
      <c r="M50" s="141">
        <v>92</v>
      </c>
      <c r="N50" s="141">
        <v>571</v>
      </c>
      <c r="O50" s="623">
        <f t="shared" si="3"/>
        <v>0.13876319758672701</v>
      </c>
      <c r="P50" s="140">
        <f t="shared" si="5"/>
        <v>2465.683257918552</v>
      </c>
    </row>
    <row r="51" spans="1:16" s="382" customFormat="1" ht="17.100000000000001" customHeight="1">
      <c r="A51" s="136" t="s">
        <v>1608</v>
      </c>
      <c r="B51" s="135" t="s">
        <v>3508</v>
      </c>
      <c r="C51" s="136" t="s">
        <v>3509</v>
      </c>
      <c r="D51" s="136" t="s">
        <v>811</v>
      </c>
      <c r="E51" s="136" t="s">
        <v>1571</v>
      </c>
      <c r="F51" s="419">
        <v>43100</v>
      </c>
      <c r="G51" s="140">
        <v>138712</v>
      </c>
      <c r="H51" s="140">
        <v>62</v>
      </c>
      <c r="I51" s="140">
        <v>5479</v>
      </c>
      <c r="J51" s="140">
        <v>78932</v>
      </c>
      <c r="K51" s="140">
        <v>22863</v>
      </c>
      <c r="L51" s="140">
        <v>133209</v>
      </c>
      <c r="M51" s="140">
        <v>455</v>
      </c>
      <c r="N51" s="140">
        <v>344</v>
      </c>
      <c r="O51" s="623">
        <f t="shared" si="3"/>
        <v>0.5694618272841051</v>
      </c>
      <c r="P51" s="140">
        <f t="shared" si="5"/>
        <v>13019.605757196496</v>
      </c>
    </row>
    <row r="52" spans="1:16" s="382" customFormat="1" ht="17.100000000000001" customHeight="1">
      <c r="A52" s="138" t="s">
        <v>1610</v>
      </c>
      <c r="B52" s="137" t="s">
        <v>3510</v>
      </c>
      <c r="C52" s="138" t="s">
        <v>3511</v>
      </c>
      <c r="D52" s="138" t="s">
        <v>711</v>
      </c>
      <c r="E52" s="138" t="s">
        <v>1571</v>
      </c>
      <c r="F52" s="420">
        <v>43100</v>
      </c>
      <c r="G52" s="141">
        <v>138298.50200000001</v>
      </c>
      <c r="H52" s="141">
        <v>624</v>
      </c>
      <c r="I52" s="141">
        <v>1.82</v>
      </c>
      <c r="J52" s="141">
        <v>1099.3320000000001</v>
      </c>
      <c r="K52" s="141">
        <v>34971.162000000004</v>
      </c>
      <c r="L52" s="141">
        <v>45920.525000000001</v>
      </c>
      <c r="M52" s="141">
        <v>1240</v>
      </c>
      <c r="N52" s="141">
        <v>856</v>
      </c>
      <c r="O52" s="623">
        <f t="shared" si="3"/>
        <v>0.59160305343511455</v>
      </c>
      <c r="P52" s="140">
        <f t="shared" si="5"/>
        <v>20689.04622137405</v>
      </c>
    </row>
    <row r="53" spans="1:16" s="382" customFormat="1" ht="43.15" customHeight="1">
      <c r="A53" s="136" t="s">
        <v>1612</v>
      </c>
      <c r="B53" s="135" t="s">
        <v>3512</v>
      </c>
      <c r="C53" s="136" t="s">
        <v>3513</v>
      </c>
      <c r="D53" s="136" t="s">
        <v>188</v>
      </c>
      <c r="E53" s="136" t="s">
        <v>1571</v>
      </c>
      <c r="F53" s="419">
        <v>43100</v>
      </c>
      <c r="G53" s="140">
        <v>132745</v>
      </c>
      <c r="H53" s="140">
        <v>799</v>
      </c>
      <c r="I53" s="140">
        <v>1721</v>
      </c>
      <c r="J53" s="140">
        <v>12486</v>
      </c>
      <c r="K53" s="140">
        <v>64260</v>
      </c>
      <c r="L53" s="140">
        <v>89386</v>
      </c>
      <c r="M53" s="140">
        <v>4741</v>
      </c>
      <c r="N53" s="140">
        <v>961</v>
      </c>
      <c r="O53" s="623">
        <f t="shared" si="3"/>
        <v>0.83146264468607511</v>
      </c>
      <c r="P53" s="140">
        <f t="shared" si="5"/>
        <v>53429.789547527187</v>
      </c>
    </row>
    <row r="54" spans="1:16" s="382" customFormat="1" ht="43.15" customHeight="1">
      <c r="A54" s="138" t="s">
        <v>1614</v>
      </c>
      <c r="B54" s="139" t="s">
        <v>1624</v>
      </c>
      <c r="C54" s="138" t="s">
        <v>932</v>
      </c>
      <c r="D54" s="138" t="s">
        <v>1625</v>
      </c>
      <c r="E54" s="138" t="s">
        <v>1571</v>
      </c>
      <c r="F54" s="420">
        <v>42735</v>
      </c>
      <c r="G54" s="141">
        <v>131846.90135</v>
      </c>
      <c r="H54" s="141">
        <v>2096</v>
      </c>
      <c r="I54" s="141">
        <v>-10.21302</v>
      </c>
      <c r="J54" s="141">
        <v>2420.3868400000001</v>
      </c>
      <c r="K54" s="141">
        <v>89100.454180000001</v>
      </c>
      <c r="L54" s="141">
        <v>95281.381900000008</v>
      </c>
      <c r="M54" s="141">
        <v>20</v>
      </c>
      <c r="N54" s="141">
        <v>162</v>
      </c>
      <c r="O54" s="623">
        <f t="shared" si="3"/>
        <v>0.10989010989010989</v>
      </c>
      <c r="P54" s="140">
        <f t="shared" si="5"/>
        <v>9791.2587010989009</v>
      </c>
    </row>
    <row r="55" spans="1:16" s="382" customFormat="1" ht="29.45" customHeight="1">
      <c r="A55" s="136" t="s">
        <v>1617</v>
      </c>
      <c r="B55" s="135" t="s">
        <v>3514</v>
      </c>
      <c r="C55" s="136" t="s">
        <v>3515</v>
      </c>
      <c r="D55" s="136" t="s">
        <v>1266</v>
      </c>
      <c r="E55" s="136" t="s">
        <v>1571</v>
      </c>
      <c r="F55" s="419">
        <v>43100</v>
      </c>
      <c r="G55" s="140">
        <v>126502.637149</v>
      </c>
      <c r="H55" s="140">
        <v>179</v>
      </c>
      <c r="I55" s="140">
        <v>195.19829000000001</v>
      </c>
      <c r="J55" s="140">
        <v>818.78395000000012</v>
      </c>
      <c r="K55" s="140">
        <v>9998.3664900000003</v>
      </c>
      <c r="L55" s="140">
        <v>14562.42059</v>
      </c>
      <c r="M55" s="143"/>
      <c r="N55" s="143"/>
      <c r="O55" s="623" t="e">
        <f t="shared" si="3"/>
        <v>#DIV/0!</v>
      </c>
      <c r="P55" s="140"/>
    </row>
    <row r="56" spans="1:16" s="382" customFormat="1" ht="29.45" customHeight="1">
      <c r="A56" s="138" t="s">
        <v>1620</v>
      </c>
      <c r="B56" s="137" t="s">
        <v>1631</v>
      </c>
      <c r="C56" s="138" t="s">
        <v>830</v>
      </c>
      <c r="D56" s="138" t="s">
        <v>811</v>
      </c>
      <c r="E56" s="138" t="s">
        <v>1571</v>
      </c>
      <c r="F56" s="420">
        <v>43100</v>
      </c>
      <c r="G56" s="141">
        <v>122886.95539</v>
      </c>
      <c r="H56" s="141">
        <v>504</v>
      </c>
      <c r="I56" s="141">
        <v>1042.35257</v>
      </c>
      <c r="J56" s="141">
        <v>2999.5582600000002</v>
      </c>
      <c r="K56" s="141">
        <v>21602.227449999998</v>
      </c>
      <c r="L56" s="141">
        <v>26746.802048999998</v>
      </c>
      <c r="M56" s="141">
        <v>117</v>
      </c>
      <c r="N56" s="141">
        <v>625</v>
      </c>
      <c r="O56" s="623">
        <f t="shared" si="3"/>
        <v>0.15768194070080863</v>
      </c>
      <c r="P56" s="140">
        <f>O56*K56</f>
        <v>3406.2811477762802</v>
      </c>
    </row>
    <row r="57" spans="1:16" s="382" customFormat="1" ht="43.15" customHeight="1">
      <c r="A57" s="136" t="s">
        <v>1623</v>
      </c>
      <c r="B57" s="135" t="s">
        <v>3516</v>
      </c>
      <c r="C57" s="136" t="s">
        <v>3517</v>
      </c>
      <c r="D57" s="136" t="s">
        <v>1797</v>
      </c>
      <c r="E57" s="136" t="s">
        <v>1571</v>
      </c>
      <c r="F57" s="419">
        <v>43100</v>
      </c>
      <c r="G57" s="140">
        <v>121935.93373</v>
      </c>
      <c r="H57" s="140">
        <v>5351</v>
      </c>
      <c r="I57" s="140">
        <v>67.898909999999987</v>
      </c>
      <c r="J57" s="140">
        <v>365.89712000000003</v>
      </c>
      <c r="K57" s="140">
        <v>112373.51842000001</v>
      </c>
      <c r="L57" s="140">
        <v>113794.49424000001</v>
      </c>
      <c r="M57" s="140">
        <v>84</v>
      </c>
      <c r="N57" s="140">
        <v>380</v>
      </c>
      <c r="O57" s="623">
        <f t="shared" si="3"/>
        <v>0.18103448275862069</v>
      </c>
      <c r="P57" s="140">
        <f>O57*K57</f>
        <v>20343.481782931038</v>
      </c>
    </row>
    <row r="58" spans="1:16" s="382" customFormat="1" ht="17.100000000000001" customHeight="1">
      <c r="A58" s="138" t="s">
        <v>1626</v>
      </c>
      <c r="B58" s="137" t="s">
        <v>3518</v>
      </c>
      <c r="C58" s="138" t="s">
        <v>3519</v>
      </c>
      <c r="D58" s="138" t="s">
        <v>1013</v>
      </c>
      <c r="E58" s="138" t="s">
        <v>1571</v>
      </c>
      <c r="F58" s="420">
        <v>43100</v>
      </c>
      <c r="G58" s="141">
        <v>117524</v>
      </c>
      <c r="H58" s="141">
        <v>734</v>
      </c>
      <c r="I58" s="142" t="s">
        <v>189</v>
      </c>
      <c r="J58" s="141">
        <v>-2649</v>
      </c>
      <c r="K58" s="141">
        <v>30888</v>
      </c>
      <c r="L58" s="141">
        <v>34987</v>
      </c>
      <c r="M58" s="141">
        <v>143</v>
      </c>
      <c r="N58" s="141">
        <v>417</v>
      </c>
      <c r="O58" s="623">
        <f t="shared" si="3"/>
        <v>0.25535714285714284</v>
      </c>
      <c r="P58" s="140">
        <f>O58*K58</f>
        <v>7887.4714285714281</v>
      </c>
    </row>
    <row r="59" spans="1:16" s="382" customFormat="1" ht="29.45" customHeight="1">
      <c r="A59" s="136" t="s">
        <v>1628</v>
      </c>
      <c r="B59" s="421" t="s">
        <v>3520</v>
      </c>
      <c r="C59" s="136" t="s">
        <v>3521</v>
      </c>
      <c r="D59" s="136" t="s">
        <v>975</v>
      </c>
      <c r="E59" s="136" t="s">
        <v>1571</v>
      </c>
      <c r="F59" s="419">
        <v>40543</v>
      </c>
      <c r="G59" s="140">
        <v>105250</v>
      </c>
      <c r="H59" s="140">
        <v>560</v>
      </c>
      <c r="I59" s="140">
        <v>-616</v>
      </c>
      <c r="J59" s="140">
        <v>6284</v>
      </c>
      <c r="K59" s="140">
        <v>28553</v>
      </c>
      <c r="L59" s="140">
        <v>41613</v>
      </c>
      <c r="M59" s="143"/>
      <c r="N59" s="143"/>
      <c r="O59" s="623" t="e">
        <f t="shared" si="3"/>
        <v>#DIV/0!</v>
      </c>
      <c r="P59" s="140"/>
    </row>
    <row r="60" spans="1:16" s="382" customFormat="1" ht="43.15" customHeight="1">
      <c r="A60" s="138" t="s">
        <v>1630</v>
      </c>
      <c r="B60" s="137" t="s">
        <v>3522</v>
      </c>
      <c r="C60" s="138" t="s">
        <v>3523</v>
      </c>
      <c r="D60" s="138" t="s">
        <v>1797</v>
      </c>
      <c r="E60" s="138" t="s">
        <v>1571</v>
      </c>
      <c r="F60" s="420">
        <v>43100</v>
      </c>
      <c r="G60" s="141">
        <v>103449</v>
      </c>
      <c r="H60" s="141">
        <v>331</v>
      </c>
      <c r="I60" s="141">
        <v>965</v>
      </c>
      <c r="J60" s="141">
        <v>6693</v>
      </c>
      <c r="K60" s="141">
        <v>18354</v>
      </c>
      <c r="L60" s="141">
        <v>32570</v>
      </c>
      <c r="M60" s="141">
        <v>54</v>
      </c>
      <c r="N60" s="141">
        <v>255</v>
      </c>
      <c r="O60" s="623">
        <f t="shared" si="3"/>
        <v>0.17475728155339806</v>
      </c>
      <c r="P60" s="140">
        <f t="shared" ref="P60:P66" si="6">O60*K60</f>
        <v>3207.4951456310682</v>
      </c>
    </row>
    <row r="61" spans="1:16" s="382" customFormat="1" ht="17.100000000000001" customHeight="1">
      <c r="A61" s="136" t="s">
        <v>1632</v>
      </c>
      <c r="B61" s="135" t="s">
        <v>3524</v>
      </c>
      <c r="C61" s="136" t="s">
        <v>3525</v>
      </c>
      <c r="D61" s="136" t="s">
        <v>1013</v>
      </c>
      <c r="E61" s="136" t="s">
        <v>1571</v>
      </c>
      <c r="F61" s="419">
        <v>43100</v>
      </c>
      <c r="G61" s="140">
        <v>98893.688999999998</v>
      </c>
      <c r="H61" s="140">
        <v>290</v>
      </c>
      <c r="I61" s="140">
        <v>1117.7339999999999</v>
      </c>
      <c r="J61" s="140">
        <v>2682.34</v>
      </c>
      <c r="K61" s="140">
        <v>14620.004000000001</v>
      </c>
      <c r="L61" s="140">
        <v>19139.387999999999</v>
      </c>
      <c r="M61" s="140">
        <v>33</v>
      </c>
      <c r="N61" s="140">
        <v>289</v>
      </c>
      <c r="O61" s="623">
        <f t="shared" si="3"/>
        <v>0.10248447204968944</v>
      </c>
      <c r="P61" s="140">
        <f t="shared" si="6"/>
        <v>1498.323391304348</v>
      </c>
    </row>
    <row r="62" spans="1:16" s="382" customFormat="1" ht="29.45" customHeight="1">
      <c r="A62" s="138" t="s">
        <v>1634</v>
      </c>
      <c r="B62" s="137" t="s">
        <v>3526</v>
      </c>
      <c r="C62" s="138" t="s">
        <v>3527</v>
      </c>
      <c r="D62" s="138" t="s">
        <v>811</v>
      </c>
      <c r="E62" s="138" t="s">
        <v>1571</v>
      </c>
      <c r="F62" s="420">
        <v>42916</v>
      </c>
      <c r="G62" s="141">
        <v>98756.260000000009</v>
      </c>
      <c r="H62" s="141">
        <v>258</v>
      </c>
      <c r="I62" s="141">
        <v>3404.7150000000001</v>
      </c>
      <c r="J62" s="141">
        <v>8919.514000000001</v>
      </c>
      <c r="K62" s="141">
        <v>16562.374</v>
      </c>
      <c r="L62" s="141">
        <v>37370.446000000004</v>
      </c>
      <c r="M62" s="141">
        <v>155.42000000000002</v>
      </c>
      <c r="N62" s="141">
        <v>95.910000000000011</v>
      </c>
      <c r="O62" s="623">
        <f t="shared" si="3"/>
        <v>0.61839016432578675</v>
      </c>
      <c r="P62" s="140">
        <f t="shared" si="6"/>
        <v>10242.009179485138</v>
      </c>
    </row>
    <row r="63" spans="1:16" s="382" customFormat="1" ht="43.15" customHeight="1">
      <c r="A63" s="136" t="s">
        <v>1636</v>
      </c>
      <c r="B63" s="135" t="s">
        <v>3528</v>
      </c>
      <c r="C63" s="136" t="s">
        <v>3529</v>
      </c>
      <c r="D63" s="136" t="s">
        <v>969</v>
      </c>
      <c r="E63" s="136" t="s">
        <v>1571</v>
      </c>
      <c r="F63" s="419">
        <v>43008</v>
      </c>
      <c r="G63" s="140">
        <v>98718</v>
      </c>
      <c r="H63" s="140">
        <v>496</v>
      </c>
      <c r="I63" s="140">
        <v>1610</v>
      </c>
      <c r="J63" s="140">
        <v>4920</v>
      </c>
      <c r="K63" s="140">
        <v>17590</v>
      </c>
      <c r="L63" s="140">
        <v>28813</v>
      </c>
      <c r="M63" s="140">
        <v>66</v>
      </c>
      <c r="N63" s="140">
        <v>428</v>
      </c>
      <c r="O63" s="623">
        <f t="shared" si="3"/>
        <v>0.13360323886639677</v>
      </c>
      <c r="P63" s="140">
        <f t="shared" si="6"/>
        <v>2350.0809716599192</v>
      </c>
    </row>
    <row r="64" spans="1:16" s="382" customFormat="1" ht="17.100000000000001" customHeight="1">
      <c r="A64" s="138" t="s">
        <v>1638</v>
      </c>
      <c r="B64" s="137" t="s">
        <v>3530</v>
      </c>
      <c r="C64" s="138" t="s">
        <v>3531</v>
      </c>
      <c r="D64" s="138" t="s">
        <v>1972</v>
      </c>
      <c r="E64" s="138" t="s">
        <v>1571</v>
      </c>
      <c r="F64" s="420">
        <v>43100</v>
      </c>
      <c r="G64" s="141">
        <v>95798</v>
      </c>
      <c r="H64" s="141">
        <v>493</v>
      </c>
      <c r="I64" s="141">
        <v>-176</v>
      </c>
      <c r="J64" s="141">
        <v>1850</v>
      </c>
      <c r="K64" s="141">
        <v>22412</v>
      </c>
      <c r="L64" s="141">
        <v>27955</v>
      </c>
      <c r="M64" s="141">
        <v>81</v>
      </c>
      <c r="N64" s="141">
        <v>411</v>
      </c>
      <c r="O64" s="623">
        <f t="shared" si="3"/>
        <v>0.16463414634146342</v>
      </c>
      <c r="P64" s="140">
        <f t="shared" si="6"/>
        <v>3689.7804878048782</v>
      </c>
    </row>
    <row r="65" spans="1:16" s="382" customFormat="1" ht="29.45" customHeight="1">
      <c r="A65" s="136" t="s">
        <v>1640</v>
      </c>
      <c r="B65" s="135" t="s">
        <v>1653</v>
      </c>
      <c r="C65" s="136" t="s">
        <v>1008</v>
      </c>
      <c r="D65" s="136" t="s">
        <v>975</v>
      </c>
      <c r="E65" s="136" t="s">
        <v>1571</v>
      </c>
      <c r="F65" s="419">
        <v>43100</v>
      </c>
      <c r="G65" s="140">
        <v>86536</v>
      </c>
      <c r="H65" s="140">
        <v>365</v>
      </c>
      <c r="I65" s="140">
        <v>1625</v>
      </c>
      <c r="J65" s="140">
        <v>5659</v>
      </c>
      <c r="K65" s="140">
        <v>21008</v>
      </c>
      <c r="L65" s="140">
        <v>32215</v>
      </c>
      <c r="M65" s="140">
        <v>62</v>
      </c>
      <c r="N65" s="140">
        <v>303</v>
      </c>
      <c r="O65" s="623">
        <f t="shared" si="3"/>
        <v>0.16986301369863013</v>
      </c>
      <c r="P65" s="140">
        <f t="shared" si="6"/>
        <v>3568.4821917808217</v>
      </c>
    </row>
    <row r="66" spans="1:16" s="382" customFormat="1" ht="17.100000000000001" customHeight="1">
      <c r="A66" s="138" t="s">
        <v>1642</v>
      </c>
      <c r="B66" s="137" t="s">
        <v>3532</v>
      </c>
      <c r="C66" s="138" t="s">
        <v>3533</v>
      </c>
      <c r="D66" s="138" t="s">
        <v>1972</v>
      </c>
      <c r="E66" s="138" t="s">
        <v>1571</v>
      </c>
      <c r="F66" s="420">
        <v>43100</v>
      </c>
      <c r="G66" s="141">
        <v>78618</v>
      </c>
      <c r="H66" s="141">
        <v>352</v>
      </c>
      <c r="I66" s="141">
        <v>2002</v>
      </c>
      <c r="J66" s="141">
        <v>6009</v>
      </c>
      <c r="K66" s="141">
        <v>20461</v>
      </c>
      <c r="L66" s="141">
        <v>37952</v>
      </c>
      <c r="M66" s="141">
        <v>14</v>
      </c>
      <c r="N66" s="141">
        <v>336</v>
      </c>
      <c r="O66" s="623">
        <f t="shared" si="3"/>
        <v>0.04</v>
      </c>
      <c r="P66" s="140">
        <f t="shared" si="6"/>
        <v>818.44</v>
      </c>
    </row>
    <row r="67" spans="1:16" s="382" customFormat="1" ht="17.100000000000001" customHeight="1">
      <c r="A67" s="136" t="s">
        <v>1644</v>
      </c>
      <c r="B67" s="135" t="s">
        <v>3534</v>
      </c>
      <c r="C67" s="136" t="s">
        <v>3535</v>
      </c>
      <c r="D67" s="136" t="s">
        <v>1112</v>
      </c>
      <c r="E67" s="136" t="s">
        <v>1571</v>
      </c>
      <c r="F67" s="419">
        <v>42735</v>
      </c>
      <c r="G67" s="140">
        <v>75215.312000000005</v>
      </c>
      <c r="H67" s="143" t="s">
        <v>189</v>
      </c>
      <c r="I67" s="143" t="s">
        <v>189</v>
      </c>
      <c r="J67" s="140">
        <v>1109.9660000000001</v>
      </c>
      <c r="K67" s="140">
        <v>36756.087</v>
      </c>
      <c r="L67" s="140">
        <v>41792.815000000002</v>
      </c>
      <c r="M67" s="143"/>
      <c r="N67" s="143"/>
      <c r="O67" s="623" t="e">
        <f t="shared" si="3"/>
        <v>#DIV/0!</v>
      </c>
      <c r="P67" s="140"/>
    </row>
    <row r="68" spans="1:16" s="382" customFormat="1" ht="17.100000000000001" customHeight="1">
      <c r="A68" s="138" t="s">
        <v>1646</v>
      </c>
      <c r="B68" s="137" t="s">
        <v>3536</v>
      </c>
      <c r="C68" s="138" t="s">
        <v>3537</v>
      </c>
      <c r="D68" s="138" t="s">
        <v>1607</v>
      </c>
      <c r="E68" s="138" t="s">
        <v>1571</v>
      </c>
      <c r="F68" s="420">
        <v>43100</v>
      </c>
      <c r="G68" s="141">
        <v>73681.247000000003</v>
      </c>
      <c r="H68" s="141">
        <v>868</v>
      </c>
      <c r="I68" s="141">
        <v>218.69499999999999</v>
      </c>
      <c r="J68" s="141">
        <v>963.58</v>
      </c>
      <c r="K68" s="141">
        <v>27109.154000000002</v>
      </c>
      <c r="L68" s="141">
        <v>31173.733</v>
      </c>
      <c r="M68" s="142"/>
      <c r="N68" s="142"/>
      <c r="O68" s="623" t="e">
        <f t="shared" si="3"/>
        <v>#DIV/0!</v>
      </c>
      <c r="P68" s="140"/>
    </row>
    <row r="69" spans="1:16" s="382" customFormat="1" ht="29.45" customHeight="1">
      <c r="A69" s="136" t="s">
        <v>1648</v>
      </c>
      <c r="B69" s="135" t="s">
        <v>1662</v>
      </c>
      <c r="C69" s="136" t="s">
        <v>1510</v>
      </c>
      <c r="D69" s="136" t="s">
        <v>1501</v>
      </c>
      <c r="E69" s="136" t="s">
        <v>1571</v>
      </c>
      <c r="F69" s="419">
        <v>43100</v>
      </c>
      <c r="G69" s="140">
        <v>73104</v>
      </c>
      <c r="H69" s="140">
        <v>310</v>
      </c>
      <c r="I69" s="140">
        <v>136</v>
      </c>
      <c r="J69" s="140">
        <v>530</v>
      </c>
      <c r="K69" s="140">
        <v>16021</v>
      </c>
      <c r="L69" s="140">
        <v>18330</v>
      </c>
      <c r="M69" s="140">
        <v>50</v>
      </c>
      <c r="N69" s="140">
        <v>236</v>
      </c>
      <c r="O69" s="623">
        <f t="shared" si="3"/>
        <v>0.17482517482517482</v>
      </c>
      <c r="P69" s="140">
        <f>O69*K69</f>
        <v>2800.8741258741256</v>
      </c>
    </row>
    <row r="70" spans="1:16" s="382" customFormat="1" ht="29.45" customHeight="1">
      <c r="A70" s="138" t="s">
        <v>1650</v>
      </c>
      <c r="B70" s="137" t="s">
        <v>1664</v>
      </c>
      <c r="C70" s="138" t="s">
        <v>999</v>
      </c>
      <c r="D70" s="138" t="s">
        <v>975</v>
      </c>
      <c r="E70" s="138" t="s">
        <v>1571</v>
      </c>
      <c r="F70" s="420">
        <v>42735</v>
      </c>
      <c r="G70" s="141">
        <v>71437.118000000002</v>
      </c>
      <c r="H70" s="141">
        <v>275</v>
      </c>
      <c r="I70" s="141">
        <v>1028.0530000000001</v>
      </c>
      <c r="J70" s="141">
        <v>3328.36</v>
      </c>
      <c r="K70" s="141">
        <v>14133.423000000001</v>
      </c>
      <c r="L70" s="141">
        <v>20436.34</v>
      </c>
      <c r="M70" s="142"/>
      <c r="N70" s="142"/>
      <c r="O70" s="623" t="e">
        <f t="shared" si="3"/>
        <v>#DIV/0!</v>
      </c>
      <c r="P70" s="140"/>
    </row>
    <row r="71" spans="1:16" s="382" customFormat="1" ht="43.15" customHeight="1">
      <c r="A71" s="136" t="s">
        <v>1652</v>
      </c>
      <c r="B71" s="421" t="s">
        <v>3538</v>
      </c>
      <c r="C71" s="136" t="s">
        <v>3539</v>
      </c>
      <c r="D71" s="136" t="s">
        <v>969</v>
      </c>
      <c r="E71" s="136" t="s">
        <v>1571</v>
      </c>
      <c r="F71" s="419">
        <v>42825</v>
      </c>
      <c r="G71" s="140">
        <v>69409</v>
      </c>
      <c r="H71" s="140">
        <v>140</v>
      </c>
      <c r="I71" s="140">
        <v>277</v>
      </c>
      <c r="J71" s="140">
        <v>3777</v>
      </c>
      <c r="K71" s="140">
        <v>5586</v>
      </c>
      <c r="L71" s="140">
        <v>11119</v>
      </c>
      <c r="M71" s="140">
        <v>31</v>
      </c>
      <c r="N71" s="140">
        <v>241</v>
      </c>
      <c r="O71" s="623">
        <f t="shared" si="3"/>
        <v>0.11397058823529412</v>
      </c>
      <c r="P71" s="140">
        <f>O71*K71</f>
        <v>636.63970588235293</v>
      </c>
    </row>
    <row r="72" spans="1:16" s="382" customFormat="1" ht="29.45" customHeight="1">
      <c r="A72" s="138" t="s">
        <v>1654</v>
      </c>
      <c r="B72" s="137" t="s">
        <v>3540</v>
      </c>
      <c r="C72" s="138" t="s">
        <v>3541</v>
      </c>
      <c r="D72" s="138" t="s">
        <v>188</v>
      </c>
      <c r="E72" s="138" t="s">
        <v>1571</v>
      </c>
      <c r="F72" s="420">
        <v>42825</v>
      </c>
      <c r="G72" s="141">
        <v>68090.521069000009</v>
      </c>
      <c r="H72" s="141">
        <v>320</v>
      </c>
      <c r="I72" s="141">
        <v>564.00175999999999</v>
      </c>
      <c r="J72" s="141">
        <v>1698.6045000000001</v>
      </c>
      <c r="K72" s="141">
        <v>15231.49469</v>
      </c>
      <c r="L72" s="141">
        <v>18512.345739999997</v>
      </c>
      <c r="M72" s="141">
        <v>28</v>
      </c>
      <c r="N72" s="141">
        <v>111</v>
      </c>
      <c r="O72" s="623">
        <f t="shared" si="3"/>
        <v>0.20143884892086331</v>
      </c>
      <c r="P72" s="140">
        <f>O72*K72</f>
        <v>3068.2147576978414</v>
      </c>
    </row>
    <row r="73" spans="1:16" s="382" customFormat="1" ht="29.45" customHeight="1">
      <c r="A73" s="136" t="s">
        <v>1657</v>
      </c>
      <c r="B73" s="135" t="s">
        <v>3542</v>
      </c>
      <c r="C73" s="136" t="s">
        <v>3543</v>
      </c>
      <c r="D73" s="136" t="s">
        <v>811</v>
      </c>
      <c r="E73" s="136" t="s">
        <v>1571</v>
      </c>
      <c r="F73" s="419">
        <v>43100</v>
      </c>
      <c r="G73" s="140">
        <v>67550.941330000001</v>
      </c>
      <c r="H73" s="140">
        <v>60</v>
      </c>
      <c r="I73" s="143" t="s">
        <v>189</v>
      </c>
      <c r="J73" s="140">
        <v>-9535.6672899999994</v>
      </c>
      <c r="K73" s="140">
        <v>3901.12192</v>
      </c>
      <c r="L73" s="140">
        <v>3317.7882999999997</v>
      </c>
      <c r="M73" s="140">
        <v>83</v>
      </c>
      <c r="N73" s="140">
        <v>234</v>
      </c>
      <c r="O73" s="623">
        <f t="shared" si="3"/>
        <v>0.26182965299684541</v>
      </c>
      <c r="P73" s="140">
        <f>O73*K73</f>
        <v>1021.4293986119873</v>
      </c>
    </row>
    <row r="74" spans="1:16" s="382" customFormat="1" ht="29.45" customHeight="1">
      <c r="A74" s="138" t="s">
        <v>1659</v>
      </c>
      <c r="B74" s="137" t="s">
        <v>3544</v>
      </c>
      <c r="C74" s="138" t="s">
        <v>3545</v>
      </c>
      <c r="D74" s="138" t="s">
        <v>1184</v>
      </c>
      <c r="E74" s="138" t="s">
        <v>1571</v>
      </c>
      <c r="F74" s="420">
        <v>42735</v>
      </c>
      <c r="G74" s="141">
        <v>65129.794110000003</v>
      </c>
      <c r="H74" s="141">
        <v>336</v>
      </c>
      <c r="I74" s="141">
        <v>-325.88719000000003</v>
      </c>
      <c r="J74" s="141">
        <v>1161.3087800000001</v>
      </c>
      <c r="K74" s="141">
        <v>15351.901900000001</v>
      </c>
      <c r="L74" s="141">
        <v>18747.455140000002</v>
      </c>
      <c r="M74" s="141">
        <v>32.08</v>
      </c>
      <c r="N74" s="141">
        <v>27.53</v>
      </c>
      <c r="O74" s="623">
        <f t="shared" si="3"/>
        <v>0.53816473746015769</v>
      </c>
      <c r="P74" s="140">
        <f>O74*K74</f>
        <v>8261.8522555275958</v>
      </c>
    </row>
    <row r="75" spans="1:16" s="382" customFormat="1" ht="29.45" customHeight="1">
      <c r="A75" s="136" t="s">
        <v>1661</v>
      </c>
      <c r="B75" s="135" t="s">
        <v>3546</v>
      </c>
      <c r="C75" s="136" t="s">
        <v>3547</v>
      </c>
      <c r="D75" s="136" t="s">
        <v>1168</v>
      </c>
      <c r="E75" s="136" t="s">
        <v>1571</v>
      </c>
      <c r="F75" s="419">
        <v>43100</v>
      </c>
      <c r="G75" s="140">
        <v>64843</v>
      </c>
      <c r="H75" s="140">
        <v>234</v>
      </c>
      <c r="I75" s="140">
        <v>2690</v>
      </c>
      <c r="J75" s="140">
        <v>3299</v>
      </c>
      <c r="K75" s="140">
        <v>12673</v>
      </c>
      <c r="L75" s="140">
        <v>23127</v>
      </c>
      <c r="M75" s="143"/>
      <c r="N75" s="143"/>
      <c r="O75" s="623" t="e">
        <f t="shared" si="3"/>
        <v>#DIV/0!</v>
      </c>
      <c r="P75" s="140"/>
    </row>
    <row r="76" spans="1:16" s="382" customFormat="1" ht="29.45" customHeight="1">
      <c r="A76" s="138" t="s">
        <v>1663</v>
      </c>
      <c r="B76" s="137" t="s">
        <v>3548</v>
      </c>
      <c r="C76" s="138" t="s">
        <v>3549</v>
      </c>
      <c r="D76" s="138" t="s">
        <v>1622</v>
      </c>
      <c r="E76" s="138" t="s">
        <v>1571</v>
      </c>
      <c r="F76" s="420">
        <v>43100</v>
      </c>
      <c r="G76" s="141">
        <v>64535.542750000001</v>
      </c>
      <c r="H76" s="141">
        <v>157</v>
      </c>
      <c r="I76" s="141">
        <v>-0.26514000000000004</v>
      </c>
      <c r="J76" s="141">
        <v>380.77892000000003</v>
      </c>
      <c r="K76" s="141">
        <v>5583.4585999999999</v>
      </c>
      <c r="L76" s="141">
        <v>6697.1556199999995</v>
      </c>
      <c r="M76" s="141">
        <v>28</v>
      </c>
      <c r="N76" s="141">
        <v>204</v>
      </c>
      <c r="O76" s="623">
        <f t="shared" si="3"/>
        <v>0.1206896551724138</v>
      </c>
      <c r="P76" s="140">
        <f t="shared" ref="P76:P93" si="7">O76*K76</f>
        <v>673.86569310344828</v>
      </c>
    </row>
    <row r="77" spans="1:16" s="382" customFormat="1" ht="17.100000000000001" customHeight="1">
      <c r="A77" s="136" t="s">
        <v>1665</v>
      </c>
      <c r="B77" s="135" t="s">
        <v>3550</v>
      </c>
      <c r="C77" s="136" t="s">
        <v>3551</v>
      </c>
      <c r="D77" s="136" t="s">
        <v>1221</v>
      </c>
      <c r="E77" s="136" t="s">
        <v>1571</v>
      </c>
      <c r="F77" s="419">
        <v>42735</v>
      </c>
      <c r="G77" s="140">
        <v>64039</v>
      </c>
      <c r="H77" s="140">
        <v>110</v>
      </c>
      <c r="I77" s="140">
        <v>142</v>
      </c>
      <c r="J77" s="140">
        <v>6491</v>
      </c>
      <c r="K77" s="140">
        <v>17278</v>
      </c>
      <c r="L77" s="140">
        <v>26752</v>
      </c>
      <c r="M77" s="140">
        <v>64.25</v>
      </c>
      <c r="N77" s="140">
        <v>92.92</v>
      </c>
      <c r="O77" s="623">
        <f t="shared" si="3"/>
        <v>0.40879302665903156</v>
      </c>
      <c r="P77" s="140">
        <f t="shared" si="7"/>
        <v>7063.1259146147468</v>
      </c>
    </row>
    <row r="78" spans="1:16" s="382" customFormat="1" ht="17.100000000000001" customHeight="1">
      <c r="A78" s="138" t="s">
        <v>1667</v>
      </c>
      <c r="B78" s="137" t="s">
        <v>3552</v>
      </c>
      <c r="C78" s="138" t="s">
        <v>3553</v>
      </c>
      <c r="D78" s="138" t="s">
        <v>811</v>
      </c>
      <c r="E78" s="138" t="s">
        <v>1571</v>
      </c>
      <c r="F78" s="420">
        <v>43100</v>
      </c>
      <c r="G78" s="141">
        <v>63423.518000000004</v>
      </c>
      <c r="H78" s="141">
        <v>36</v>
      </c>
      <c r="I78" s="141">
        <v>520.26324999999997</v>
      </c>
      <c r="J78" s="141">
        <v>2631.4477500000003</v>
      </c>
      <c r="K78" s="141">
        <v>1982.6100000000001</v>
      </c>
      <c r="L78" s="141">
        <v>5931.2889999999998</v>
      </c>
      <c r="M78" s="141">
        <v>7</v>
      </c>
      <c r="N78" s="141">
        <v>29</v>
      </c>
      <c r="O78" s="623">
        <f t="shared" si="3"/>
        <v>0.19444444444444445</v>
      </c>
      <c r="P78" s="140">
        <f t="shared" si="7"/>
        <v>385.50750000000005</v>
      </c>
    </row>
    <row r="79" spans="1:16" s="382" customFormat="1" ht="17.100000000000001" customHeight="1">
      <c r="A79" s="136" t="s">
        <v>1670</v>
      </c>
      <c r="B79" s="135" t="s">
        <v>3554</v>
      </c>
      <c r="C79" s="136" t="s">
        <v>3555</v>
      </c>
      <c r="D79" s="136" t="s">
        <v>811</v>
      </c>
      <c r="E79" s="136" t="s">
        <v>1571</v>
      </c>
      <c r="F79" s="419">
        <v>43100</v>
      </c>
      <c r="G79" s="140">
        <v>63014</v>
      </c>
      <c r="H79" s="140">
        <v>738</v>
      </c>
      <c r="I79" s="143" t="s">
        <v>189</v>
      </c>
      <c r="J79" s="140">
        <v>-9935</v>
      </c>
      <c r="K79" s="140">
        <v>36879</v>
      </c>
      <c r="L79" s="140">
        <v>28637</v>
      </c>
      <c r="M79" s="140">
        <v>220</v>
      </c>
      <c r="N79" s="140">
        <v>522</v>
      </c>
      <c r="O79" s="623">
        <f t="shared" si="3"/>
        <v>0.29649595687331537</v>
      </c>
      <c r="P79" s="140">
        <f t="shared" si="7"/>
        <v>10934.474393530998</v>
      </c>
    </row>
    <row r="80" spans="1:16" s="382" customFormat="1" ht="29.45" customHeight="1">
      <c r="A80" s="138" t="s">
        <v>1672</v>
      </c>
      <c r="B80" s="137" t="s">
        <v>3556</v>
      </c>
      <c r="C80" s="138" t="s">
        <v>3557</v>
      </c>
      <c r="D80" s="138" t="s">
        <v>3558</v>
      </c>
      <c r="E80" s="138" t="s">
        <v>1571</v>
      </c>
      <c r="F80" s="420">
        <v>43100</v>
      </c>
      <c r="G80" s="141">
        <v>61628.976999999999</v>
      </c>
      <c r="H80" s="141">
        <v>190</v>
      </c>
      <c r="I80" s="141">
        <v>201.916</v>
      </c>
      <c r="J80" s="141">
        <v>1137.922</v>
      </c>
      <c r="K80" s="141">
        <v>6607.4719999999998</v>
      </c>
      <c r="L80" s="141">
        <v>9410.59</v>
      </c>
      <c r="M80" s="141">
        <v>28</v>
      </c>
      <c r="N80" s="141">
        <v>185</v>
      </c>
      <c r="O80" s="623">
        <f t="shared" si="3"/>
        <v>0.13145539906103287</v>
      </c>
      <c r="P80" s="140">
        <f t="shared" si="7"/>
        <v>868.58786854460095</v>
      </c>
    </row>
    <row r="81" spans="1:16" s="382" customFormat="1" ht="29.45" customHeight="1">
      <c r="A81" s="136" t="s">
        <v>1674</v>
      </c>
      <c r="B81" s="135" t="s">
        <v>3559</v>
      </c>
      <c r="C81" s="136" t="s">
        <v>3560</v>
      </c>
      <c r="D81" s="136" t="s">
        <v>969</v>
      </c>
      <c r="E81" s="136" t="s">
        <v>1571</v>
      </c>
      <c r="F81" s="419">
        <v>43100</v>
      </c>
      <c r="G81" s="140">
        <v>59766.855000000003</v>
      </c>
      <c r="H81" s="140">
        <v>165</v>
      </c>
      <c r="I81" s="140">
        <v>-45.331000000000003</v>
      </c>
      <c r="J81" s="140">
        <v>5175.6869999999999</v>
      </c>
      <c r="K81" s="140">
        <v>11246.934000000001</v>
      </c>
      <c r="L81" s="140">
        <v>19159.698</v>
      </c>
      <c r="M81" s="140">
        <v>9</v>
      </c>
      <c r="N81" s="140">
        <v>39</v>
      </c>
      <c r="O81" s="623">
        <f t="shared" si="3"/>
        <v>0.1875</v>
      </c>
      <c r="P81" s="140">
        <f t="shared" si="7"/>
        <v>2108.8001250000002</v>
      </c>
    </row>
    <row r="82" spans="1:16" s="382" customFormat="1" ht="29.45" customHeight="1">
      <c r="A82" s="138" t="s">
        <v>1676</v>
      </c>
      <c r="B82" s="137" t="s">
        <v>3561</v>
      </c>
      <c r="C82" s="138" t="s">
        <v>3562</v>
      </c>
      <c r="D82" s="138" t="s">
        <v>1595</v>
      </c>
      <c r="E82" s="138" t="s">
        <v>1571</v>
      </c>
      <c r="F82" s="420">
        <v>43100</v>
      </c>
      <c r="G82" s="141">
        <v>59423.928</v>
      </c>
      <c r="H82" s="141">
        <v>257</v>
      </c>
      <c r="I82" s="141">
        <v>323.05799999999999</v>
      </c>
      <c r="J82" s="141">
        <v>-272.00700000000001</v>
      </c>
      <c r="K82" s="141">
        <v>14140.335000000001</v>
      </c>
      <c r="L82" s="141">
        <v>15714.62</v>
      </c>
      <c r="M82" s="141">
        <v>55</v>
      </c>
      <c r="N82" s="141">
        <v>112</v>
      </c>
      <c r="O82" s="623">
        <f t="shared" si="3"/>
        <v>0.32934131736526945</v>
      </c>
      <c r="P82" s="140">
        <f t="shared" si="7"/>
        <v>4656.9965568862281</v>
      </c>
    </row>
    <row r="83" spans="1:16" s="382" customFormat="1" ht="29.45" customHeight="1">
      <c r="A83" s="136" t="s">
        <v>1679</v>
      </c>
      <c r="B83" s="135" t="s">
        <v>3563</v>
      </c>
      <c r="C83" s="136" t="s">
        <v>3564</v>
      </c>
      <c r="D83" s="136" t="s">
        <v>596</v>
      </c>
      <c r="E83" s="136" t="s">
        <v>1571</v>
      </c>
      <c r="F83" s="419">
        <v>43100</v>
      </c>
      <c r="G83" s="140">
        <v>59045</v>
      </c>
      <c r="H83" s="140">
        <v>45</v>
      </c>
      <c r="I83" s="140">
        <v>392</v>
      </c>
      <c r="J83" s="140">
        <v>292</v>
      </c>
      <c r="K83" s="140">
        <v>3924</v>
      </c>
      <c r="L83" s="140">
        <v>5989</v>
      </c>
      <c r="M83" s="140">
        <v>86</v>
      </c>
      <c r="N83" s="140">
        <v>171</v>
      </c>
      <c r="O83" s="623">
        <f t="shared" si="3"/>
        <v>0.33463035019455251</v>
      </c>
      <c r="P83" s="140">
        <f t="shared" si="7"/>
        <v>1313.089494163424</v>
      </c>
    </row>
    <row r="84" spans="1:16" s="382" customFormat="1" ht="17.100000000000001" customHeight="1">
      <c r="A84" s="138" t="s">
        <v>1682</v>
      </c>
      <c r="B84" s="137" t="s">
        <v>3565</v>
      </c>
      <c r="C84" s="138" t="s">
        <v>3566</v>
      </c>
      <c r="D84" s="138" t="s">
        <v>1190</v>
      </c>
      <c r="E84" s="138" t="s">
        <v>1571</v>
      </c>
      <c r="F84" s="420">
        <v>43100</v>
      </c>
      <c r="G84" s="141">
        <v>58658</v>
      </c>
      <c r="H84" s="141">
        <v>143</v>
      </c>
      <c r="I84" s="141">
        <v>44</v>
      </c>
      <c r="J84" s="141">
        <v>-588</v>
      </c>
      <c r="K84" s="141">
        <v>9372</v>
      </c>
      <c r="L84" s="141">
        <v>11146</v>
      </c>
      <c r="M84" s="141">
        <v>15</v>
      </c>
      <c r="N84" s="141">
        <v>27</v>
      </c>
      <c r="O84" s="623">
        <f t="shared" si="3"/>
        <v>0.35714285714285715</v>
      </c>
      <c r="P84" s="140">
        <f t="shared" si="7"/>
        <v>3347.1428571428573</v>
      </c>
    </row>
    <row r="85" spans="1:16" s="382" customFormat="1" ht="29.45" customHeight="1">
      <c r="A85" s="136" t="s">
        <v>1684</v>
      </c>
      <c r="B85" s="135" t="s">
        <v>3567</v>
      </c>
      <c r="C85" s="136" t="s">
        <v>3568</v>
      </c>
      <c r="D85" s="136" t="s">
        <v>3569</v>
      </c>
      <c r="E85" s="136" t="s">
        <v>1571</v>
      </c>
      <c r="F85" s="419">
        <v>43100</v>
      </c>
      <c r="G85" s="140">
        <v>57738.559000000001</v>
      </c>
      <c r="H85" s="140">
        <v>81</v>
      </c>
      <c r="I85" s="140">
        <v>1071.018</v>
      </c>
      <c r="J85" s="140">
        <v>5722.7430000000004</v>
      </c>
      <c r="K85" s="140">
        <v>6172.2930000000006</v>
      </c>
      <c r="L85" s="140">
        <v>13857.907000000001</v>
      </c>
      <c r="M85" s="140">
        <v>18</v>
      </c>
      <c r="N85" s="140">
        <v>124</v>
      </c>
      <c r="O85" s="623">
        <f t="shared" si="3"/>
        <v>0.12676056338028169</v>
      </c>
      <c r="P85" s="140">
        <f t="shared" si="7"/>
        <v>782.40333802816906</v>
      </c>
    </row>
    <row r="86" spans="1:16" s="382" customFormat="1" ht="29.45" customHeight="1">
      <c r="A86" s="138" t="s">
        <v>1688</v>
      </c>
      <c r="B86" s="137" t="s">
        <v>1671</v>
      </c>
      <c r="C86" s="138" t="s">
        <v>1143</v>
      </c>
      <c r="D86" s="138" t="s">
        <v>1142</v>
      </c>
      <c r="E86" s="138" t="s">
        <v>1571</v>
      </c>
      <c r="F86" s="420">
        <v>43100</v>
      </c>
      <c r="G86" s="141">
        <v>57690</v>
      </c>
      <c r="H86" s="141">
        <v>213</v>
      </c>
      <c r="I86" s="141">
        <v>790</v>
      </c>
      <c r="J86" s="141">
        <v>2597</v>
      </c>
      <c r="K86" s="141">
        <v>13351</v>
      </c>
      <c r="L86" s="141">
        <v>18317</v>
      </c>
      <c r="M86" s="142"/>
      <c r="N86" s="141">
        <v>42</v>
      </c>
      <c r="O86" s="623">
        <f t="shared" si="3"/>
        <v>0</v>
      </c>
      <c r="P86" s="140">
        <f t="shared" si="7"/>
        <v>0</v>
      </c>
    </row>
    <row r="87" spans="1:16" s="382" customFormat="1" ht="29.45" customHeight="1">
      <c r="A87" s="136" t="s">
        <v>1691</v>
      </c>
      <c r="B87" s="135" t="s">
        <v>3570</v>
      </c>
      <c r="C87" s="136" t="s">
        <v>3571</v>
      </c>
      <c r="D87" s="136" t="s">
        <v>811</v>
      </c>
      <c r="E87" s="136" t="s">
        <v>1571</v>
      </c>
      <c r="F87" s="419">
        <v>43100</v>
      </c>
      <c r="G87" s="140">
        <v>55347</v>
      </c>
      <c r="H87" s="140">
        <v>640</v>
      </c>
      <c r="I87" s="140">
        <v>-172</v>
      </c>
      <c r="J87" s="140">
        <v>-1176</v>
      </c>
      <c r="K87" s="140">
        <v>20744</v>
      </c>
      <c r="L87" s="140">
        <v>19716</v>
      </c>
      <c r="M87" s="140">
        <v>27</v>
      </c>
      <c r="N87" s="140">
        <v>177</v>
      </c>
      <c r="O87" s="623">
        <f t="shared" si="3"/>
        <v>0.13235294117647059</v>
      </c>
      <c r="P87" s="140">
        <f t="shared" si="7"/>
        <v>2745.5294117647059</v>
      </c>
    </row>
    <row r="88" spans="1:16" s="382" customFormat="1" ht="17.100000000000001" customHeight="1">
      <c r="A88" s="138" t="s">
        <v>1693</v>
      </c>
      <c r="B88" s="137" t="s">
        <v>3572</v>
      </c>
      <c r="C88" s="138" t="s">
        <v>3573</v>
      </c>
      <c r="D88" s="138" t="s">
        <v>1474</v>
      </c>
      <c r="E88" s="138" t="s">
        <v>1571</v>
      </c>
      <c r="F88" s="420">
        <v>43100</v>
      </c>
      <c r="G88" s="141">
        <v>53505.825949999999</v>
      </c>
      <c r="H88" s="141">
        <v>87</v>
      </c>
      <c r="I88" s="141">
        <v>42.931239999999995</v>
      </c>
      <c r="J88" s="141">
        <v>559.12233000000003</v>
      </c>
      <c r="K88" s="141">
        <v>3384.2252400000002</v>
      </c>
      <c r="L88" s="141">
        <v>4879.7366300000003</v>
      </c>
      <c r="M88" s="141">
        <v>9</v>
      </c>
      <c r="N88" s="141">
        <v>74</v>
      </c>
      <c r="O88" s="623">
        <f t="shared" si="3"/>
        <v>0.10843373493975904</v>
      </c>
      <c r="P88" s="140">
        <f t="shared" si="7"/>
        <v>366.96418265060242</v>
      </c>
    </row>
    <row r="89" spans="1:16" s="382" customFormat="1" ht="29.45" customHeight="1">
      <c r="A89" s="136" t="s">
        <v>1695</v>
      </c>
      <c r="B89" s="135" t="s">
        <v>3574</v>
      </c>
      <c r="C89" s="136" t="s">
        <v>3575</v>
      </c>
      <c r="D89" s="136" t="s">
        <v>188</v>
      </c>
      <c r="E89" s="136" t="s">
        <v>1571</v>
      </c>
      <c r="F89" s="419">
        <v>43100</v>
      </c>
      <c r="G89" s="140">
        <v>53003</v>
      </c>
      <c r="H89" s="140">
        <v>773</v>
      </c>
      <c r="I89" s="140">
        <v>-277</v>
      </c>
      <c r="J89" s="140">
        <v>-1913</v>
      </c>
      <c r="K89" s="140">
        <v>34670</v>
      </c>
      <c r="L89" s="140">
        <v>32621</v>
      </c>
      <c r="M89" s="140">
        <v>71</v>
      </c>
      <c r="N89" s="140">
        <v>340</v>
      </c>
      <c r="O89" s="623">
        <f t="shared" si="3"/>
        <v>0.17274939172749393</v>
      </c>
      <c r="P89" s="140">
        <f t="shared" si="7"/>
        <v>5989.2214111922149</v>
      </c>
    </row>
    <row r="90" spans="1:16" s="382" customFormat="1" ht="43.15" customHeight="1">
      <c r="A90" s="138" t="s">
        <v>1697</v>
      </c>
      <c r="B90" s="137" t="s">
        <v>3576</v>
      </c>
      <c r="C90" s="138" t="s">
        <v>3577</v>
      </c>
      <c r="D90" s="138" t="s">
        <v>1366</v>
      </c>
      <c r="E90" s="138" t="s">
        <v>1571</v>
      </c>
      <c r="F90" s="420">
        <v>42735</v>
      </c>
      <c r="G90" s="141">
        <v>49050.633970000003</v>
      </c>
      <c r="H90" s="141">
        <v>52</v>
      </c>
      <c r="I90" s="141">
        <v>194.91627000000003</v>
      </c>
      <c r="J90" s="141">
        <v>617.23485000000005</v>
      </c>
      <c r="K90" s="141">
        <v>2692.8731400000001</v>
      </c>
      <c r="L90" s="141">
        <v>5059.7019500000006</v>
      </c>
      <c r="M90" s="141">
        <v>10.119999999999999</v>
      </c>
      <c r="N90" s="141">
        <v>76.5</v>
      </c>
      <c r="O90" s="623">
        <f t="shared" si="3"/>
        <v>0.11683214038328329</v>
      </c>
      <c r="P90" s="140">
        <f t="shared" si="7"/>
        <v>314.61413272685292</v>
      </c>
    </row>
    <row r="91" spans="1:16" s="382" customFormat="1" ht="29.45" customHeight="1">
      <c r="A91" s="136" t="s">
        <v>1699</v>
      </c>
      <c r="B91" s="135" t="s">
        <v>1683</v>
      </c>
      <c r="C91" s="136" t="s">
        <v>1137</v>
      </c>
      <c r="D91" s="136" t="s">
        <v>1135</v>
      </c>
      <c r="E91" s="136" t="s">
        <v>1571</v>
      </c>
      <c r="F91" s="419">
        <v>42735</v>
      </c>
      <c r="G91" s="140">
        <v>48973.690420000006</v>
      </c>
      <c r="H91" s="140">
        <v>117</v>
      </c>
      <c r="I91" s="140">
        <v>293.88373000000007</v>
      </c>
      <c r="J91" s="140">
        <v>805.69798000000003</v>
      </c>
      <c r="K91" s="140">
        <v>6031.6657599999999</v>
      </c>
      <c r="L91" s="140">
        <v>7876.0460999999996</v>
      </c>
      <c r="M91" s="140">
        <v>37</v>
      </c>
      <c r="N91" s="140">
        <v>693</v>
      </c>
      <c r="O91" s="623">
        <f t="shared" ref="O91:O154" si="8">M91/(M91+N91)</f>
        <v>5.0684931506849315E-2</v>
      </c>
      <c r="P91" s="140">
        <f t="shared" si="7"/>
        <v>305.71456591780822</v>
      </c>
    </row>
    <row r="92" spans="1:16" s="382" customFormat="1" ht="29.45" customHeight="1">
      <c r="A92" s="138" t="s">
        <v>1701</v>
      </c>
      <c r="B92" s="137" t="s">
        <v>3578</v>
      </c>
      <c r="C92" s="138" t="s">
        <v>3579</v>
      </c>
      <c r="D92" s="138" t="s">
        <v>1168</v>
      </c>
      <c r="E92" s="138" t="s">
        <v>1571</v>
      </c>
      <c r="F92" s="420">
        <v>43100</v>
      </c>
      <c r="G92" s="141">
        <v>48432.032660000004</v>
      </c>
      <c r="H92" s="141">
        <v>104</v>
      </c>
      <c r="I92" s="141">
        <v>305.33083000000005</v>
      </c>
      <c r="J92" s="141">
        <v>1000.94898</v>
      </c>
      <c r="K92" s="141">
        <v>6090.4267900000004</v>
      </c>
      <c r="L92" s="141">
        <v>10657.059350000001</v>
      </c>
      <c r="M92" s="141">
        <v>22</v>
      </c>
      <c r="N92" s="141">
        <v>98</v>
      </c>
      <c r="O92" s="623">
        <f t="shared" si="8"/>
        <v>0.18333333333333332</v>
      </c>
      <c r="P92" s="140">
        <f t="shared" si="7"/>
        <v>1116.5782448333334</v>
      </c>
    </row>
    <row r="93" spans="1:16" s="382" customFormat="1" ht="17.100000000000001" customHeight="1">
      <c r="A93" s="136" t="s">
        <v>1704</v>
      </c>
      <c r="B93" s="135" t="s">
        <v>3580</v>
      </c>
      <c r="C93" s="136" t="s">
        <v>3581</v>
      </c>
      <c r="D93" s="136" t="s">
        <v>3582</v>
      </c>
      <c r="E93" s="136" t="s">
        <v>1571</v>
      </c>
      <c r="F93" s="419">
        <v>43100</v>
      </c>
      <c r="G93" s="140">
        <v>47098.184000000001</v>
      </c>
      <c r="H93" s="140">
        <v>236</v>
      </c>
      <c r="I93" s="143" t="s">
        <v>189</v>
      </c>
      <c r="J93" s="140">
        <v>2990.3150000000001</v>
      </c>
      <c r="K93" s="140">
        <v>11688.37</v>
      </c>
      <c r="L93" s="140">
        <v>16398.945</v>
      </c>
      <c r="M93" s="140">
        <v>2</v>
      </c>
      <c r="N93" s="140">
        <v>102</v>
      </c>
      <c r="O93" s="623">
        <f t="shared" si="8"/>
        <v>1.9230769230769232E-2</v>
      </c>
      <c r="P93" s="140">
        <f t="shared" si="7"/>
        <v>224.77634615384619</v>
      </c>
    </row>
    <row r="94" spans="1:16" s="382" customFormat="1" ht="17.100000000000001" customHeight="1">
      <c r="A94" s="138" t="s">
        <v>1706</v>
      </c>
      <c r="B94" s="137" t="s">
        <v>1696</v>
      </c>
      <c r="C94" s="138" t="s">
        <v>970</v>
      </c>
      <c r="D94" s="138" t="s">
        <v>971</v>
      </c>
      <c r="E94" s="138" t="s">
        <v>1571</v>
      </c>
      <c r="F94" s="420">
        <v>43100</v>
      </c>
      <c r="G94" s="141">
        <v>42976.584000000003</v>
      </c>
      <c r="H94" s="141">
        <v>189</v>
      </c>
      <c r="I94" s="141">
        <v>1300.6010000000001</v>
      </c>
      <c r="J94" s="141">
        <v>4731.6589999999997</v>
      </c>
      <c r="K94" s="141">
        <v>7772.5079999999998</v>
      </c>
      <c r="L94" s="141">
        <v>15225.445</v>
      </c>
      <c r="M94" s="142"/>
      <c r="N94" s="142"/>
      <c r="O94" s="623" t="e">
        <f t="shared" si="8"/>
        <v>#DIV/0!</v>
      </c>
      <c r="P94" s="140"/>
    </row>
    <row r="95" spans="1:16" s="382" customFormat="1" ht="29.45" customHeight="1">
      <c r="A95" s="136" t="s">
        <v>1708</v>
      </c>
      <c r="B95" s="135" t="s">
        <v>3583</v>
      </c>
      <c r="C95" s="136" t="s">
        <v>3584</v>
      </c>
      <c r="D95" s="136" t="s">
        <v>811</v>
      </c>
      <c r="E95" s="136" t="s">
        <v>1571</v>
      </c>
      <c r="F95" s="419">
        <v>43100</v>
      </c>
      <c r="G95" s="140">
        <v>41971</v>
      </c>
      <c r="H95" s="140">
        <v>39</v>
      </c>
      <c r="I95" s="140">
        <v>695</v>
      </c>
      <c r="J95" s="140">
        <v>1819</v>
      </c>
      <c r="K95" s="140">
        <v>2319</v>
      </c>
      <c r="L95" s="140">
        <v>4915</v>
      </c>
      <c r="M95" s="140">
        <v>57</v>
      </c>
      <c r="N95" s="140">
        <v>130</v>
      </c>
      <c r="O95" s="623">
        <f t="shared" si="8"/>
        <v>0.30481283422459893</v>
      </c>
      <c r="P95" s="140">
        <f>O95*K95</f>
        <v>706.86096256684493</v>
      </c>
    </row>
    <row r="96" spans="1:16" s="382" customFormat="1" ht="29.45" customHeight="1">
      <c r="A96" s="138" t="s">
        <v>1710</v>
      </c>
      <c r="B96" s="137" t="s">
        <v>1698</v>
      </c>
      <c r="C96" s="138" t="s">
        <v>1289</v>
      </c>
      <c r="D96" s="138" t="s">
        <v>1266</v>
      </c>
      <c r="E96" s="138" t="s">
        <v>1571</v>
      </c>
      <c r="F96" s="420">
        <v>43100</v>
      </c>
      <c r="G96" s="141">
        <v>41882.258780000004</v>
      </c>
      <c r="H96" s="141">
        <v>96</v>
      </c>
      <c r="I96" s="141">
        <v>352.79219000000001</v>
      </c>
      <c r="J96" s="141">
        <v>1787.41695</v>
      </c>
      <c r="K96" s="141">
        <v>4355.1580899999999</v>
      </c>
      <c r="L96" s="141">
        <v>7814.5222199999998</v>
      </c>
      <c r="M96" s="141">
        <v>6</v>
      </c>
      <c r="N96" s="141">
        <v>33</v>
      </c>
      <c r="O96" s="623">
        <f t="shared" si="8"/>
        <v>0.15384615384615385</v>
      </c>
      <c r="P96" s="140">
        <f>O96*K96</f>
        <v>670.02432153846155</v>
      </c>
    </row>
    <row r="97" spans="1:16" s="382" customFormat="1" ht="29.45" customHeight="1">
      <c r="A97" s="136" t="s">
        <v>1712</v>
      </c>
      <c r="B97" s="135" t="s">
        <v>1700</v>
      </c>
      <c r="C97" s="136" t="s">
        <v>1136</v>
      </c>
      <c r="D97" s="136" t="s">
        <v>1135</v>
      </c>
      <c r="E97" s="136" t="s">
        <v>1571</v>
      </c>
      <c r="F97" s="419">
        <v>42735</v>
      </c>
      <c r="G97" s="140">
        <v>41756.142359999998</v>
      </c>
      <c r="H97" s="140">
        <v>28</v>
      </c>
      <c r="I97" s="140">
        <v>414.69941000000006</v>
      </c>
      <c r="J97" s="140">
        <v>1464.94148</v>
      </c>
      <c r="K97" s="140">
        <v>1309.6182800000001</v>
      </c>
      <c r="L97" s="140">
        <v>3472.7955699999998</v>
      </c>
      <c r="M97" s="140">
        <v>27</v>
      </c>
      <c r="N97" s="140">
        <v>69</v>
      </c>
      <c r="O97" s="623">
        <f t="shared" si="8"/>
        <v>0.28125</v>
      </c>
      <c r="P97" s="140">
        <f>O97*K97</f>
        <v>368.33014125000005</v>
      </c>
    </row>
    <row r="98" spans="1:16" s="382" customFormat="1" ht="29.45" customHeight="1">
      <c r="A98" s="138" t="s">
        <v>1714</v>
      </c>
      <c r="B98" s="137" t="s">
        <v>3585</v>
      </c>
      <c r="C98" s="138" t="s">
        <v>3586</v>
      </c>
      <c r="D98" s="138" t="s">
        <v>1145</v>
      </c>
      <c r="E98" s="138" t="s">
        <v>1571</v>
      </c>
      <c r="F98" s="420">
        <v>43100</v>
      </c>
      <c r="G98" s="141">
        <v>41715.602039999998</v>
      </c>
      <c r="H98" s="141">
        <v>300</v>
      </c>
      <c r="I98" s="141">
        <v>1411.5742700000001</v>
      </c>
      <c r="J98" s="141">
        <v>4276.9043000000001</v>
      </c>
      <c r="K98" s="141">
        <v>12518.35562</v>
      </c>
      <c r="L98" s="141">
        <v>19308.428079000001</v>
      </c>
      <c r="M98" s="141">
        <v>7</v>
      </c>
      <c r="N98" s="141">
        <v>22</v>
      </c>
      <c r="O98" s="623">
        <f t="shared" si="8"/>
        <v>0.2413793103448276</v>
      </c>
      <c r="P98" s="140">
        <f>O98*K98</f>
        <v>3021.6720462068965</v>
      </c>
    </row>
    <row r="99" spans="1:16" s="382" customFormat="1" ht="29.45" customHeight="1">
      <c r="A99" s="136" t="s">
        <v>1716</v>
      </c>
      <c r="B99" s="135" t="s">
        <v>3587</v>
      </c>
      <c r="C99" s="136" t="s">
        <v>3588</v>
      </c>
      <c r="D99" s="136" t="s">
        <v>188</v>
      </c>
      <c r="E99" s="136" t="s">
        <v>1571</v>
      </c>
      <c r="F99" s="419">
        <v>39447</v>
      </c>
      <c r="G99" s="140">
        <v>41600.913509999998</v>
      </c>
      <c r="H99" s="140">
        <v>40</v>
      </c>
      <c r="I99" s="140">
        <v>1028.5359800000001</v>
      </c>
      <c r="J99" s="140">
        <v>2136.1896800000004</v>
      </c>
      <c r="K99" s="140">
        <v>2177.5179199999998</v>
      </c>
      <c r="L99" s="140">
        <v>5394.7587000000003</v>
      </c>
      <c r="M99" s="140">
        <v>92</v>
      </c>
      <c r="N99" s="140">
        <v>193</v>
      </c>
      <c r="O99" s="623">
        <f t="shared" si="8"/>
        <v>0.32280701754385965</v>
      </c>
      <c r="P99" s="140">
        <f>O99*K99</f>
        <v>702.91806540350876</v>
      </c>
    </row>
    <row r="100" spans="1:16" s="382" customFormat="1" ht="17.100000000000001" customHeight="1">
      <c r="A100" s="138" t="s">
        <v>1718</v>
      </c>
      <c r="B100" s="137" t="s">
        <v>3589</v>
      </c>
      <c r="C100" s="138" t="s">
        <v>3590</v>
      </c>
      <c r="D100" s="138" t="s">
        <v>3582</v>
      </c>
      <c r="E100" s="138" t="s">
        <v>1571</v>
      </c>
      <c r="F100" s="420">
        <v>42735</v>
      </c>
      <c r="G100" s="141">
        <v>36958</v>
      </c>
      <c r="H100" s="141">
        <v>166</v>
      </c>
      <c r="I100" s="141">
        <v>254</v>
      </c>
      <c r="J100" s="141">
        <v>3933</v>
      </c>
      <c r="K100" s="141">
        <v>8822</v>
      </c>
      <c r="L100" s="141">
        <v>15483</v>
      </c>
      <c r="M100" s="142"/>
      <c r="N100" s="142"/>
      <c r="O100" s="623" t="e">
        <f t="shared" si="8"/>
        <v>#DIV/0!</v>
      </c>
      <c r="P100" s="140"/>
    </row>
    <row r="101" spans="1:16" s="382" customFormat="1" ht="29.45" customHeight="1">
      <c r="A101" s="136" t="s">
        <v>1720</v>
      </c>
      <c r="B101" s="135" t="s">
        <v>3591</v>
      </c>
      <c r="C101" s="136" t="s">
        <v>3592</v>
      </c>
      <c r="D101" s="136" t="s">
        <v>1429</v>
      </c>
      <c r="E101" s="136" t="s">
        <v>1571</v>
      </c>
      <c r="F101" s="419">
        <v>42735</v>
      </c>
      <c r="G101" s="140">
        <v>36851.120999999999</v>
      </c>
      <c r="H101" s="140">
        <v>48</v>
      </c>
      <c r="I101" s="140">
        <v>697.67700000000002</v>
      </c>
      <c r="J101" s="140">
        <v>1774.694</v>
      </c>
      <c r="K101" s="140">
        <v>2199.6709999999998</v>
      </c>
      <c r="L101" s="140">
        <v>5212.732</v>
      </c>
      <c r="M101" s="143"/>
      <c r="N101" s="143"/>
      <c r="O101" s="623" t="e">
        <f t="shared" si="8"/>
        <v>#DIV/0!</v>
      </c>
      <c r="P101" s="140"/>
    </row>
    <row r="102" spans="1:16" s="382" customFormat="1" ht="43.15" customHeight="1">
      <c r="A102" s="138" t="s">
        <v>1722</v>
      </c>
      <c r="B102" s="137" t="s">
        <v>3593</v>
      </c>
      <c r="C102" s="138" t="s">
        <v>3594</v>
      </c>
      <c r="D102" s="138" t="s">
        <v>1266</v>
      </c>
      <c r="E102" s="138" t="s">
        <v>1571</v>
      </c>
      <c r="F102" s="420">
        <v>43100</v>
      </c>
      <c r="G102" s="141">
        <v>36196</v>
      </c>
      <c r="H102" s="141">
        <v>54</v>
      </c>
      <c r="I102" s="141">
        <v>31</v>
      </c>
      <c r="J102" s="141">
        <v>80</v>
      </c>
      <c r="K102" s="141">
        <v>3145</v>
      </c>
      <c r="L102" s="141">
        <v>4281</v>
      </c>
      <c r="M102" s="141">
        <v>17</v>
      </c>
      <c r="N102" s="141">
        <v>35</v>
      </c>
      <c r="O102" s="623">
        <f t="shared" si="8"/>
        <v>0.32692307692307693</v>
      </c>
      <c r="P102" s="140">
        <f t="shared" ref="P102:P107" si="9">O102*K102</f>
        <v>1028.1730769230769</v>
      </c>
    </row>
    <row r="103" spans="1:16" s="382" customFormat="1" ht="29.45" customHeight="1">
      <c r="A103" s="136" t="s">
        <v>1724</v>
      </c>
      <c r="B103" s="135" t="s">
        <v>3595</v>
      </c>
      <c r="C103" s="136" t="s">
        <v>3596</v>
      </c>
      <c r="D103" s="136" t="s">
        <v>596</v>
      </c>
      <c r="E103" s="136" t="s">
        <v>1571</v>
      </c>
      <c r="F103" s="419">
        <v>43100</v>
      </c>
      <c r="G103" s="140">
        <v>36083</v>
      </c>
      <c r="H103" s="140">
        <v>192</v>
      </c>
      <c r="I103" s="140">
        <v>477</v>
      </c>
      <c r="J103" s="140">
        <v>1225</v>
      </c>
      <c r="K103" s="140">
        <v>8113</v>
      </c>
      <c r="L103" s="140">
        <v>10289</v>
      </c>
      <c r="M103" s="140">
        <v>76</v>
      </c>
      <c r="N103" s="140">
        <v>117</v>
      </c>
      <c r="O103" s="623">
        <f t="shared" si="8"/>
        <v>0.39378238341968913</v>
      </c>
      <c r="P103" s="140">
        <f t="shared" si="9"/>
        <v>3194.7564766839378</v>
      </c>
    </row>
    <row r="104" spans="1:16" s="382" customFormat="1" ht="17.100000000000001" customHeight="1">
      <c r="A104" s="138" t="s">
        <v>1727</v>
      </c>
      <c r="B104" s="137" t="s">
        <v>3597</v>
      </c>
      <c r="C104" s="138" t="s">
        <v>3598</v>
      </c>
      <c r="D104" s="138" t="s">
        <v>811</v>
      </c>
      <c r="E104" s="138" t="s">
        <v>1571</v>
      </c>
      <c r="F104" s="420">
        <v>43100</v>
      </c>
      <c r="G104" s="141">
        <v>35771.468590000004</v>
      </c>
      <c r="H104" s="141">
        <v>29</v>
      </c>
      <c r="I104" s="141">
        <v>1404.2834499999999</v>
      </c>
      <c r="J104" s="141">
        <v>3610.39194</v>
      </c>
      <c r="K104" s="141">
        <v>1922.2834399999999</v>
      </c>
      <c r="L104" s="141">
        <v>7153.7251399999996</v>
      </c>
      <c r="M104" s="141">
        <v>10</v>
      </c>
      <c r="N104" s="141">
        <v>19</v>
      </c>
      <c r="O104" s="623">
        <f t="shared" si="8"/>
        <v>0.34482758620689657</v>
      </c>
      <c r="P104" s="140">
        <f t="shared" si="9"/>
        <v>662.85635862068966</v>
      </c>
    </row>
    <row r="105" spans="1:16" s="382" customFormat="1" ht="29.45" customHeight="1">
      <c r="A105" s="136" t="s">
        <v>1729</v>
      </c>
      <c r="B105" s="135" t="s">
        <v>3599</v>
      </c>
      <c r="C105" s="136" t="s">
        <v>3600</v>
      </c>
      <c r="D105" s="136" t="s">
        <v>1461</v>
      </c>
      <c r="E105" s="136" t="s">
        <v>1571</v>
      </c>
      <c r="F105" s="419">
        <v>43100</v>
      </c>
      <c r="G105" s="140">
        <v>35591</v>
      </c>
      <c r="H105" s="140">
        <v>240</v>
      </c>
      <c r="I105" s="140">
        <v>213</v>
      </c>
      <c r="J105" s="140">
        <v>1824</v>
      </c>
      <c r="K105" s="140">
        <v>16639</v>
      </c>
      <c r="L105" s="140">
        <v>23217</v>
      </c>
      <c r="M105" s="140">
        <v>43</v>
      </c>
      <c r="N105" s="140">
        <v>205</v>
      </c>
      <c r="O105" s="623">
        <f t="shared" si="8"/>
        <v>0.17338709677419356</v>
      </c>
      <c r="P105" s="140">
        <f t="shared" si="9"/>
        <v>2884.9879032258068</v>
      </c>
    </row>
    <row r="106" spans="1:16" s="382" customFormat="1" ht="29.45" customHeight="1">
      <c r="A106" s="138" t="s">
        <v>1731</v>
      </c>
      <c r="B106" s="137" t="s">
        <v>3601</v>
      </c>
      <c r="C106" s="138" t="s">
        <v>3602</v>
      </c>
      <c r="D106" s="138" t="s">
        <v>3603</v>
      </c>
      <c r="E106" s="138" t="s">
        <v>1571</v>
      </c>
      <c r="F106" s="420">
        <v>43100</v>
      </c>
      <c r="G106" s="141">
        <v>35441</v>
      </c>
      <c r="H106" s="141">
        <v>482</v>
      </c>
      <c r="I106" s="141">
        <v>-1738</v>
      </c>
      <c r="J106" s="141">
        <v>-4469</v>
      </c>
      <c r="K106" s="141">
        <v>18902</v>
      </c>
      <c r="L106" s="141">
        <v>26148</v>
      </c>
      <c r="M106" s="141">
        <v>141</v>
      </c>
      <c r="N106" s="141">
        <v>341</v>
      </c>
      <c r="O106" s="623">
        <f t="shared" si="8"/>
        <v>0.29253112033195022</v>
      </c>
      <c r="P106" s="140">
        <f t="shared" si="9"/>
        <v>5529.4232365145235</v>
      </c>
    </row>
    <row r="107" spans="1:16" s="382" customFormat="1" ht="29.45" customHeight="1">
      <c r="A107" s="136" t="s">
        <v>1733</v>
      </c>
      <c r="B107" s="135" t="s">
        <v>3604</v>
      </c>
      <c r="C107" s="136" t="s">
        <v>3605</v>
      </c>
      <c r="D107" s="136" t="s">
        <v>1266</v>
      </c>
      <c r="E107" s="136" t="s">
        <v>1571</v>
      </c>
      <c r="F107" s="419">
        <v>43100</v>
      </c>
      <c r="G107" s="140">
        <v>35224.044999999998</v>
      </c>
      <c r="H107" s="140">
        <v>28</v>
      </c>
      <c r="I107" s="140">
        <v>1952.537</v>
      </c>
      <c r="J107" s="140">
        <v>5625.0370000000003</v>
      </c>
      <c r="K107" s="140">
        <v>1281.279</v>
      </c>
      <c r="L107" s="140">
        <v>9920.5320000000011</v>
      </c>
      <c r="M107" s="140">
        <v>13</v>
      </c>
      <c r="N107" s="140">
        <v>15</v>
      </c>
      <c r="O107" s="623">
        <f t="shared" si="8"/>
        <v>0.4642857142857143</v>
      </c>
      <c r="P107" s="140">
        <f t="shared" si="9"/>
        <v>594.87953571428568</v>
      </c>
    </row>
    <row r="108" spans="1:16" s="382" customFormat="1" ht="29.45" customHeight="1">
      <c r="A108" s="138" t="s">
        <v>1735</v>
      </c>
      <c r="B108" s="137" t="s">
        <v>3606</v>
      </c>
      <c r="C108" s="138" t="s">
        <v>3607</v>
      </c>
      <c r="D108" s="138" t="s">
        <v>1168</v>
      </c>
      <c r="E108" s="138" t="s">
        <v>1571</v>
      </c>
      <c r="F108" s="420">
        <v>42735</v>
      </c>
      <c r="G108" s="141">
        <v>35086.190660000007</v>
      </c>
      <c r="H108" s="141">
        <v>217</v>
      </c>
      <c r="I108" s="141">
        <v>-111.23064000000001</v>
      </c>
      <c r="J108" s="141">
        <v>558.34785000000011</v>
      </c>
      <c r="K108" s="141">
        <v>10755.0291</v>
      </c>
      <c r="L108" s="141">
        <v>12267.935439999999</v>
      </c>
      <c r="M108" s="142"/>
      <c r="N108" s="142"/>
      <c r="O108" s="623" t="e">
        <f t="shared" si="8"/>
        <v>#DIV/0!</v>
      </c>
      <c r="P108" s="140"/>
    </row>
    <row r="109" spans="1:16" s="382" customFormat="1" ht="17.100000000000001" customHeight="1">
      <c r="A109" s="136" t="s">
        <v>1737</v>
      </c>
      <c r="B109" s="135" t="s">
        <v>1715</v>
      </c>
      <c r="C109" s="136" t="s">
        <v>1480</v>
      </c>
      <c r="D109" s="136" t="s">
        <v>1474</v>
      </c>
      <c r="E109" s="136" t="s">
        <v>1571</v>
      </c>
      <c r="F109" s="419">
        <v>43100</v>
      </c>
      <c r="G109" s="140">
        <v>34651.53989</v>
      </c>
      <c r="H109" s="140">
        <v>99</v>
      </c>
      <c r="I109" s="140">
        <v>324.95399000000003</v>
      </c>
      <c r="J109" s="140">
        <v>1074.5980099999999</v>
      </c>
      <c r="K109" s="140">
        <v>4777.6442900000002</v>
      </c>
      <c r="L109" s="140">
        <v>6398.4147999999996</v>
      </c>
      <c r="M109" s="143"/>
      <c r="N109" s="143"/>
      <c r="O109" s="623" t="e">
        <f t="shared" si="8"/>
        <v>#DIV/0!</v>
      </c>
      <c r="P109" s="140"/>
    </row>
    <row r="110" spans="1:16" s="382" customFormat="1" ht="43.15" customHeight="1">
      <c r="A110" s="138" t="s">
        <v>1739</v>
      </c>
      <c r="B110" s="137" t="s">
        <v>3608</v>
      </c>
      <c r="C110" s="138" t="s">
        <v>3609</v>
      </c>
      <c r="D110" s="138" t="s">
        <v>975</v>
      </c>
      <c r="E110" s="138" t="s">
        <v>1571</v>
      </c>
      <c r="F110" s="420">
        <v>43008</v>
      </c>
      <c r="G110" s="141">
        <v>33608</v>
      </c>
      <c r="H110" s="141">
        <v>77</v>
      </c>
      <c r="I110" s="141">
        <v>1085</v>
      </c>
      <c r="J110" s="141">
        <v>3295</v>
      </c>
      <c r="K110" s="141">
        <v>4011</v>
      </c>
      <c r="L110" s="141">
        <v>8693</v>
      </c>
      <c r="M110" s="141">
        <v>10</v>
      </c>
      <c r="N110" s="141">
        <v>67</v>
      </c>
      <c r="O110" s="623">
        <f t="shared" si="8"/>
        <v>0.12987012987012986</v>
      </c>
      <c r="P110" s="140">
        <f>O110*K110</f>
        <v>520.90909090909088</v>
      </c>
    </row>
    <row r="111" spans="1:16" s="382" customFormat="1" ht="43.15" customHeight="1">
      <c r="A111" s="136" t="s">
        <v>1741</v>
      </c>
      <c r="B111" s="135" t="s">
        <v>1721</v>
      </c>
      <c r="C111" s="136" t="s">
        <v>1466</v>
      </c>
      <c r="D111" s="136" t="s">
        <v>1461</v>
      </c>
      <c r="E111" s="136" t="s">
        <v>1571</v>
      </c>
      <c r="F111" s="419">
        <v>42825</v>
      </c>
      <c r="G111" s="140">
        <v>33513</v>
      </c>
      <c r="H111" s="140">
        <v>54</v>
      </c>
      <c r="I111" s="140">
        <v>313.416</v>
      </c>
      <c r="J111" s="140">
        <v>713.02</v>
      </c>
      <c r="K111" s="140">
        <v>2998.6910000000003</v>
      </c>
      <c r="L111" s="140">
        <v>4199.2870000000003</v>
      </c>
      <c r="M111" s="140">
        <v>34</v>
      </c>
      <c r="N111" s="140">
        <v>31</v>
      </c>
      <c r="O111" s="623">
        <f t="shared" si="8"/>
        <v>0.52307692307692311</v>
      </c>
      <c r="P111" s="140">
        <f>O111*K111</f>
        <v>1568.5460615384618</v>
      </c>
    </row>
    <row r="112" spans="1:16" s="382" customFormat="1" ht="43.15" customHeight="1">
      <c r="A112" s="138" t="s">
        <v>1743</v>
      </c>
      <c r="B112" s="137" t="s">
        <v>3610</v>
      </c>
      <c r="C112" s="138" t="s">
        <v>3611</v>
      </c>
      <c r="D112" s="138" t="s">
        <v>811</v>
      </c>
      <c r="E112" s="138" t="s">
        <v>1571</v>
      </c>
      <c r="F112" s="420">
        <v>43100</v>
      </c>
      <c r="G112" s="141">
        <v>33085.338000000003</v>
      </c>
      <c r="H112" s="141">
        <v>61</v>
      </c>
      <c r="I112" s="141">
        <v>693.82</v>
      </c>
      <c r="J112" s="141">
        <v>-5540.6930000000002</v>
      </c>
      <c r="K112" s="141">
        <v>2889.8910000000001</v>
      </c>
      <c r="L112" s="141">
        <v>355.20499999999998</v>
      </c>
      <c r="M112" s="141">
        <v>18</v>
      </c>
      <c r="N112" s="141">
        <v>56</v>
      </c>
      <c r="O112" s="623">
        <f t="shared" si="8"/>
        <v>0.24324324324324326</v>
      </c>
      <c r="P112" s="140">
        <f>O112*K112</f>
        <v>702.94645945945956</v>
      </c>
    </row>
    <row r="113" spans="1:16" s="382" customFormat="1" ht="43.15" customHeight="1">
      <c r="A113" s="136" t="s">
        <v>1746</v>
      </c>
      <c r="B113" s="135" t="s">
        <v>3612</v>
      </c>
      <c r="C113" s="136" t="s">
        <v>3613</v>
      </c>
      <c r="D113" s="136" t="s">
        <v>1013</v>
      </c>
      <c r="E113" s="136" t="s">
        <v>1571</v>
      </c>
      <c r="F113" s="419">
        <v>43100</v>
      </c>
      <c r="G113" s="140">
        <v>32573.600000000002</v>
      </c>
      <c r="H113" s="140">
        <v>66</v>
      </c>
      <c r="I113" s="140">
        <v>899.64</v>
      </c>
      <c r="J113" s="140">
        <v>2311.806</v>
      </c>
      <c r="K113" s="140">
        <v>3187.0450000000001</v>
      </c>
      <c r="L113" s="140">
        <v>6659.8530000000001</v>
      </c>
      <c r="M113" s="140">
        <v>17</v>
      </c>
      <c r="N113" s="140">
        <v>38</v>
      </c>
      <c r="O113" s="623">
        <f t="shared" si="8"/>
        <v>0.30909090909090908</v>
      </c>
      <c r="P113" s="140">
        <f>O113*K113</f>
        <v>985.08663636363633</v>
      </c>
    </row>
    <row r="114" spans="1:16" s="382" customFormat="1" ht="29.45" customHeight="1">
      <c r="A114" s="138" t="s">
        <v>1748</v>
      </c>
      <c r="B114" s="137" t="s">
        <v>1728</v>
      </c>
      <c r="C114" s="138" t="s">
        <v>1369</v>
      </c>
      <c r="D114" s="138" t="s">
        <v>1368</v>
      </c>
      <c r="E114" s="138" t="s">
        <v>1571</v>
      </c>
      <c r="F114" s="420">
        <v>42551</v>
      </c>
      <c r="G114" s="141">
        <v>32184.314000000002</v>
      </c>
      <c r="H114" s="141">
        <v>89</v>
      </c>
      <c r="I114" s="141">
        <v>745.66100000000006</v>
      </c>
      <c r="J114" s="141">
        <v>2245.3510000000001</v>
      </c>
      <c r="K114" s="141">
        <v>4127.2970000000005</v>
      </c>
      <c r="L114" s="141">
        <v>7313.4049999999997</v>
      </c>
      <c r="M114" s="142"/>
      <c r="N114" s="142"/>
      <c r="O114" s="623" t="e">
        <f t="shared" si="8"/>
        <v>#DIV/0!</v>
      </c>
      <c r="P114" s="140"/>
    </row>
    <row r="115" spans="1:16" s="382" customFormat="1" ht="29.45" customHeight="1">
      <c r="A115" s="136" t="s">
        <v>1750</v>
      </c>
      <c r="B115" s="135" t="s">
        <v>3614</v>
      </c>
      <c r="C115" s="136" t="s">
        <v>3615</v>
      </c>
      <c r="D115" s="136" t="s">
        <v>789</v>
      </c>
      <c r="E115" s="136" t="s">
        <v>1571</v>
      </c>
      <c r="F115" s="419">
        <v>43100</v>
      </c>
      <c r="G115" s="140">
        <v>30104</v>
      </c>
      <c r="H115" s="140">
        <v>92</v>
      </c>
      <c r="I115" s="140">
        <v>868</v>
      </c>
      <c r="J115" s="140">
        <v>754</v>
      </c>
      <c r="K115" s="140">
        <v>5102</v>
      </c>
      <c r="L115" s="140">
        <v>7964</v>
      </c>
      <c r="M115" s="140">
        <v>33</v>
      </c>
      <c r="N115" s="140">
        <v>123</v>
      </c>
      <c r="O115" s="623">
        <f t="shared" si="8"/>
        <v>0.21153846153846154</v>
      </c>
      <c r="P115" s="140">
        <f>O115*K115</f>
        <v>1079.2692307692307</v>
      </c>
    </row>
    <row r="116" spans="1:16" s="382" customFormat="1" ht="29.45" customHeight="1">
      <c r="A116" s="138" t="s">
        <v>1752</v>
      </c>
      <c r="B116" s="137" t="s">
        <v>3616</v>
      </c>
      <c r="C116" s="138" t="s">
        <v>3617</v>
      </c>
      <c r="D116" s="138" t="s">
        <v>1168</v>
      </c>
      <c r="E116" s="138" t="s">
        <v>1571</v>
      </c>
      <c r="F116" s="420">
        <v>42735</v>
      </c>
      <c r="G116" s="141">
        <v>29897.618000000002</v>
      </c>
      <c r="H116" s="141">
        <v>156</v>
      </c>
      <c r="I116" s="141">
        <v>116.842</v>
      </c>
      <c r="J116" s="141">
        <v>703.13800000000003</v>
      </c>
      <c r="K116" s="141">
        <v>8046.78</v>
      </c>
      <c r="L116" s="141">
        <v>10056.353999999999</v>
      </c>
      <c r="M116" s="141">
        <v>22</v>
      </c>
      <c r="N116" s="141">
        <v>70</v>
      </c>
      <c r="O116" s="623">
        <f t="shared" si="8"/>
        <v>0.2391304347826087</v>
      </c>
      <c r="P116" s="140">
        <f>O116*K116</f>
        <v>1924.23</v>
      </c>
    </row>
    <row r="117" spans="1:16" s="382" customFormat="1" ht="17.100000000000001" customHeight="1">
      <c r="A117" s="136" t="s">
        <v>1754</v>
      </c>
      <c r="B117" s="135" t="s">
        <v>3618</v>
      </c>
      <c r="C117" s="136" t="s">
        <v>3619</v>
      </c>
      <c r="D117" s="136" t="s">
        <v>1145</v>
      </c>
      <c r="E117" s="136" t="s">
        <v>1571</v>
      </c>
      <c r="F117" s="419">
        <v>43100</v>
      </c>
      <c r="G117" s="140">
        <v>29523.592000000001</v>
      </c>
      <c r="H117" s="140">
        <v>125</v>
      </c>
      <c r="I117" s="143" t="s">
        <v>189</v>
      </c>
      <c r="J117" s="140">
        <v>2656.5030000000002</v>
      </c>
      <c r="K117" s="140">
        <v>6391.3969999999999</v>
      </c>
      <c r="L117" s="140">
        <v>9487.83</v>
      </c>
      <c r="M117" s="140">
        <v>16</v>
      </c>
      <c r="N117" s="140">
        <v>109</v>
      </c>
      <c r="O117" s="623">
        <f t="shared" si="8"/>
        <v>0.128</v>
      </c>
      <c r="P117" s="140">
        <f>O117*K117</f>
        <v>818.09881600000006</v>
      </c>
    </row>
    <row r="118" spans="1:16" s="382" customFormat="1" ht="17.100000000000001" customHeight="1">
      <c r="A118" s="138" t="s">
        <v>1756</v>
      </c>
      <c r="B118" s="137" t="s">
        <v>3620</v>
      </c>
      <c r="C118" s="138" t="s">
        <v>3621</v>
      </c>
      <c r="D118" s="138" t="s">
        <v>1501</v>
      </c>
      <c r="E118" s="138" t="s">
        <v>1571</v>
      </c>
      <c r="F118" s="420">
        <v>43100</v>
      </c>
      <c r="G118" s="141">
        <v>29387.031979999996</v>
      </c>
      <c r="H118" s="141">
        <v>81</v>
      </c>
      <c r="I118" s="141">
        <v>-7.83324</v>
      </c>
      <c r="J118" s="141">
        <v>209.13204000000002</v>
      </c>
      <c r="K118" s="141">
        <v>3884.0388299999995</v>
      </c>
      <c r="L118" s="141">
        <v>4818.4276889999992</v>
      </c>
      <c r="M118" s="142"/>
      <c r="N118" s="142"/>
      <c r="O118" s="623" t="e">
        <f t="shared" si="8"/>
        <v>#DIV/0!</v>
      </c>
      <c r="P118" s="140"/>
    </row>
    <row r="119" spans="1:16" s="382" customFormat="1" ht="29.45" customHeight="1">
      <c r="A119" s="136" t="s">
        <v>1758</v>
      </c>
      <c r="B119" s="135" t="s">
        <v>3622</v>
      </c>
      <c r="C119" s="136" t="s">
        <v>3623</v>
      </c>
      <c r="D119" s="136" t="s">
        <v>596</v>
      </c>
      <c r="E119" s="136" t="s">
        <v>1571</v>
      </c>
      <c r="F119" s="419">
        <v>43100</v>
      </c>
      <c r="G119" s="140">
        <v>29129</v>
      </c>
      <c r="H119" s="140">
        <v>230</v>
      </c>
      <c r="I119" s="140">
        <v>-1316</v>
      </c>
      <c r="J119" s="140">
        <v>2478</v>
      </c>
      <c r="K119" s="140">
        <v>14939</v>
      </c>
      <c r="L119" s="140">
        <v>16778</v>
      </c>
      <c r="M119" s="140">
        <v>7</v>
      </c>
      <c r="N119" s="140">
        <v>73</v>
      </c>
      <c r="O119" s="623">
        <f t="shared" si="8"/>
        <v>8.7499999999999994E-2</v>
      </c>
      <c r="P119" s="140">
        <f>O119*K119</f>
        <v>1307.1624999999999</v>
      </c>
    </row>
    <row r="120" spans="1:16" s="382" customFormat="1" ht="29.45" customHeight="1">
      <c r="A120" s="138" t="s">
        <v>1761</v>
      </c>
      <c r="B120" s="137" t="s">
        <v>3624</v>
      </c>
      <c r="C120" s="138" t="s">
        <v>3625</v>
      </c>
      <c r="D120" s="138" t="s">
        <v>1266</v>
      </c>
      <c r="E120" s="138" t="s">
        <v>1571</v>
      </c>
      <c r="F120" s="420">
        <v>43100</v>
      </c>
      <c r="G120" s="141">
        <v>29096.468100000002</v>
      </c>
      <c r="H120" s="141">
        <v>83</v>
      </c>
      <c r="I120" s="141">
        <v>748.02789000000007</v>
      </c>
      <c r="J120" s="141">
        <v>1189.2803700000002</v>
      </c>
      <c r="K120" s="141">
        <v>5448.81808</v>
      </c>
      <c r="L120" s="141">
        <v>7969.4660300000005</v>
      </c>
      <c r="M120" s="141">
        <v>57</v>
      </c>
      <c r="N120" s="141">
        <v>162</v>
      </c>
      <c r="O120" s="623">
        <f t="shared" si="8"/>
        <v>0.26027397260273971</v>
      </c>
      <c r="P120" s="140">
        <f>O120*K120</f>
        <v>1418.1855276712329</v>
      </c>
    </row>
    <row r="121" spans="1:16" s="382" customFormat="1" ht="43.15" customHeight="1">
      <c r="A121" s="136" t="s">
        <v>1764</v>
      </c>
      <c r="B121" s="135" t="s">
        <v>1734</v>
      </c>
      <c r="C121" s="136" t="s">
        <v>998</v>
      </c>
      <c r="D121" s="136" t="s">
        <v>975</v>
      </c>
      <c r="E121" s="136" t="s">
        <v>1571</v>
      </c>
      <c r="F121" s="419">
        <v>43100</v>
      </c>
      <c r="G121" s="140">
        <v>28943</v>
      </c>
      <c r="H121" s="140">
        <v>118</v>
      </c>
      <c r="I121" s="140">
        <v>587</v>
      </c>
      <c r="J121" s="140">
        <v>1074</v>
      </c>
      <c r="K121" s="140">
        <v>5428</v>
      </c>
      <c r="L121" s="140">
        <v>11092</v>
      </c>
      <c r="M121" s="140">
        <v>28</v>
      </c>
      <c r="N121" s="140">
        <v>55</v>
      </c>
      <c r="O121" s="623">
        <f t="shared" si="8"/>
        <v>0.33734939759036142</v>
      </c>
      <c r="P121" s="140">
        <f>O121*K121</f>
        <v>1831.1325301204818</v>
      </c>
    </row>
    <row r="122" spans="1:16" s="382" customFormat="1" ht="29.45" customHeight="1">
      <c r="A122" s="138" t="s">
        <v>1766</v>
      </c>
      <c r="B122" s="137" t="s">
        <v>3626</v>
      </c>
      <c r="C122" s="138" t="s">
        <v>3627</v>
      </c>
      <c r="D122" s="138" t="s">
        <v>1266</v>
      </c>
      <c r="E122" s="138" t="s">
        <v>1571</v>
      </c>
      <c r="F122" s="420">
        <v>43100</v>
      </c>
      <c r="G122" s="141">
        <v>28290.752</v>
      </c>
      <c r="H122" s="141">
        <v>212</v>
      </c>
      <c r="I122" s="141">
        <v>278.15699999999998</v>
      </c>
      <c r="J122" s="141">
        <v>2036.8440000000001</v>
      </c>
      <c r="K122" s="141">
        <v>7004.8630000000003</v>
      </c>
      <c r="L122" s="141">
        <v>10720.344999999999</v>
      </c>
      <c r="M122" s="141">
        <v>45</v>
      </c>
      <c r="N122" s="141">
        <v>76</v>
      </c>
      <c r="O122" s="623">
        <f t="shared" si="8"/>
        <v>0.37190082644628097</v>
      </c>
      <c r="P122" s="140">
        <f>O122*K122</f>
        <v>2605.114338842975</v>
      </c>
    </row>
    <row r="123" spans="1:16" s="382" customFormat="1" ht="29.45" customHeight="1">
      <c r="A123" s="136" t="s">
        <v>1768</v>
      </c>
      <c r="B123" s="135" t="s">
        <v>3628</v>
      </c>
      <c r="C123" s="136" t="s">
        <v>3629</v>
      </c>
      <c r="D123" s="136" t="s">
        <v>1208</v>
      </c>
      <c r="E123" s="136" t="s">
        <v>1571</v>
      </c>
      <c r="F123" s="419">
        <v>43100</v>
      </c>
      <c r="G123" s="140">
        <v>28066.960569999999</v>
      </c>
      <c r="H123" s="140">
        <v>57</v>
      </c>
      <c r="I123" s="140">
        <v>774.11085000000014</v>
      </c>
      <c r="J123" s="140">
        <v>2520.0070499999997</v>
      </c>
      <c r="K123" s="140">
        <v>2966.9372900000003</v>
      </c>
      <c r="L123" s="140">
        <v>8511.7498390000001</v>
      </c>
      <c r="M123" s="140">
        <v>59</v>
      </c>
      <c r="N123" s="140">
        <v>154</v>
      </c>
      <c r="O123" s="623">
        <f t="shared" si="8"/>
        <v>0.27699530516431925</v>
      </c>
      <c r="P123" s="140">
        <f>O123*K123</f>
        <v>821.82770004694839</v>
      </c>
    </row>
    <row r="124" spans="1:16" s="382" customFormat="1" ht="29.45" customHeight="1">
      <c r="A124" s="138" t="s">
        <v>1770</v>
      </c>
      <c r="B124" s="137" t="s">
        <v>3630</v>
      </c>
      <c r="C124" s="138" t="s">
        <v>3631</v>
      </c>
      <c r="D124" s="138" t="s">
        <v>596</v>
      </c>
      <c r="E124" s="138" t="s">
        <v>1571</v>
      </c>
      <c r="F124" s="420">
        <v>43100</v>
      </c>
      <c r="G124" s="141">
        <v>26956.796750000001</v>
      </c>
      <c r="H124" s="141">
        <v>106</v>
      </c>
      <c r="I124" s="141">
        <v>366.20979999999997</v>
      </c>
      <c r="J124" s="141">
        <v>2429.6112499999999</v>
      </c>
      <c r="K124" s="141">
        <v>5202.0997300000008</v>
      </c>
      <c r="L124" s="141">
        <v>9052.4673500000008</v>
      </c>
      <c r="M124" s="142"/>
      <c r="N124" s="142"/>
      <c r="O124" s="623" t="e">
        <f t="shared" si="8"/>
        <v>#DIV/0!</v>
      </c>
      <c r="P124" s="140"/>
    </row>
    <row r="125" spans="1:16" s="382" customFormat="1" ht="17.100000000000001" customHeight="1">
      <c r="A125" s="136" t="s">
        <v>1772</v>
      </c>
      <c r="B125" s="135" t="s">
        <v>3632</v>
      </c>
      <c r="C125" s="136" t="s">
        <v>3633</v>
      </c>
      <c r="D125" s="136" t="s">
        <v>3634</v>
      </c>
      <c r="E125" s="136" t="s">
        <v>1571</v>
      </c>
      <c r="F125" s="419">
        <v>43100</v>
      </c>
      <c r="G125" s="140">
        <v>26845</v>
      </c>
      <c r="H125" s="140">
        <v>178</v>
      </c>
      <c r="I125" s="143" t="s">
        <v>189</v>
      </c>
      <c r="J125" s="140">
        <v>303</v>
      </c>
      <c r="K125" s="140">
        <v>7295</v>
      </c>
      <c r="L125" s="140">
        <v>8333</v>
      </c>
      <c r="M125" s="140">
        <v>31</v>
      </c>
      <c r="N125" s="140">
        <v>70</v>
      </c>
      <c r="O125" s="623">
        <f t="shared" si="8"/>
        <v>0.30693069306930693</v>
      </c>
      <c r="P125" s="140">
        <f>O125*K125</f>
        <v>2239.0594059405939</v>
      </c>
    </row>
    <row r="126" spans="1:16" s="382" customFormat="1" ht="17.100000000000001" customHeight="1">
      <c r="A126" s="138" t="s">
        <v>1774</v>
      </c>
      <c r="B126" s="137" t="s">
        <v>3635</v>
      </c>
      <c r="C126" s="138" t="s">
        <v>3636</v>
      </c>
      <c r="D126" s="138" t="s">
        <v>1409</v>
      </c>
      <c r="E126" s="138" t="s">
        <v>1571</v>
      </c>
      <c r="F126" s="420">
        <v>42735</v>
      </c>
      <c r="G126" s="141">
        <v>26830</v>
      </c>
      <c r="H126" s="141">
        <v>115</v>
      </c>
      <c r="I126" s="142" t="s">
        <v>189</v>
      </c>
      <c r="J126" s="141">
        <v>1393</v>
      </c>
      <c r="K126" s="141">
        <v>5092</v>
      </c>
      <c r="L126" s="141">
        <v>6876</v>
      </c>
      <c r="M126" s="142"/>
      <c r="N126" s="142"/>
      <c r="O126" s="623" t="e">
        <f t="shared" si="8"/>
        <v>#DIV/0!</v>
      </c>
      <c r="P126" s="140"/>
    </row>
    <row r="127" spans="1:16" s="382" customFormat="1" ht="17.100000000000001" customHeight="1">
      <c r="A127" s="136" t="s">
        <v>1776</v>
      </c>
      <c r="B127" s="135" t="s">
        <v>1736</v>
      </c>
      <c r="C127" s="136" t="s">
        <v>1019</v>
      </c>
      <c r="D127" s="136" t="s">
        <v>1013</v>
      </c>
      <c r="E127" s="136" t="s">
        <v>1571</v>
      </c>
      <c r="F127" s="419">
        <v>43100</v>
      </c>
      <c r="G127" s="140">
        <v>26770.325000000001</v>
      </c>
      <c r="H127" s="140">
        <v>77</v>
      </c>
      <c r="I127" s="140">
        <v>-555.89599999999996</v>
      </c>
      <c r="J127" s="140">
        <v>-1872.4850000000001</v>
      </c>
      <c r="K127" s="140">
        <v>3538.1840000000002</v>
      </c>
      <c r="L127" s="140">
        <v>1633.0230000000001</v>
      </c>
      <c r="M127" s="140">
        <v>19</v>
      </c>
      <c r="N127" s="140">
        <v>159</v>
      </c>
      <c r="O127" s="623">
        <f t="shared" si="8"/>
        <v>0.10674157303370786</v>
      </c>
      <c r="P127" s="140">
        <f>O127*K127</f>
        <v>377.67132584269666</v>
      </c>
    </row>
    <row r="128" spans="1:16" s="382" customFormat="1" ht="29.45" customHeight="1">
      <c r="A128" s="138" t="s">
        <v>1778</v>
      </c>
      <c r="B128" s="137" t="s">
        <v>3637</v>
      </c>
      <c r="C128" s="138" t="s">
        <v>3638</v>
      </c>
      <c r="D128" s="138" t="s">
        <v>1501</v>
      </c>
      <c r="E128" s="138" t="s">
        <v>1571</v>
      </c>
      <c r="F128" s="420">
        <v>43100</v>
      </c>
      <c r="G128" s="141">
        <v>26592.515500000001</v>
      </c>
      <c r="H128" s="141">
        <v>106</v>
      </c>
      <c r="I128" s="141">
        <v>113.65953999999999</v>
      </c>
      <c r="J128" s="141">
        <v>783.43655000000001</v>
      </c>
      <c r="K128" s="141">
        <v>4725.8249599999999</v>
      </c>
      <c r="L128" s="141">
        <v>7168.5201699999998</v>
      </c>
      <c r="M128" s="141">
        <v>2</v>
      </c>
      <c r="N128" s="141">
        <v>82</v>
      </c>
      <c r="O128" s="623">
        <f t="shared" si="8"/>
        <v>2.3809523809523808E-2</v>
      </c>
      <c r="P128" s="140">
        <f>O128*K128</f>
        <v>112.5196419047619</v>
      </c>
    </row>
    <row r="129" spans="1:16" s="382" customFormat="1" ht="29.45" customHeight="1">
      <c r="A129" s="136" t="s">
        <v>1780</v>
      </c>
      <c r="B129" s="135" t="s">
        <v>1742</v>
      </c>
      <c r="C129" s="136" t="s">
        <v>658</v>
      </c>
      <c r="D129" s="136" t="s">
        <v>1595</v>
      </c>
      <c r="E129" s="136" t="s">
        <v>1571</v>
      </c>
      <c r="F129" s="419">
        <v>43100</v>
      </c>
      <c r="G129" s="140">
        <v>25894</v>
      </c>
      <c r="H129" s="140">
        <v>184</v>
      </c>
      <c r="I129" s="140">
        <v>-911</v>
      </c>
      <c r="J129" s="140">
        <v>-5073</v>
      </c>
      <c r="K129" s="140">
        <v>11945</v>
      </c>
      <c r="L129" s="140">
        <v>8330</v>
      </c>
      <c r="M129" s="140">
        <v>27</v>
      </c>
      <c r="N129" s="140">
        <v>102</v>
      </c>
      <c r="O129" s="623">
        <f t="shared" si="8"/>
        <v>0.20930232558139536</v>
      </c>
      <c r="P129" s="140">
        <f>O129*K129</f>
        <v>2500.1162790697676</v>
      </c>
    </row>
    <row r="130" spans="1:16" s="382" customFormat="1" ht="29.45" customHeight="1">
      <c r="A130" s="138" t="s">
        <v>1782</v>
      </c>
      <c r="B130" s="137" t="s">
        <v>3639</v>
      </c>
      <c r="C130" s="138" t="s">
        <v>3640</v>
      </c>
      <c r="D130" s="138" t="s">
        <v>1788</v>
      </c>
      <c r="E130" s="138" t="s">
        <v>1571</v>
      </c>
      <c r="F130" s="420">
        <v>42735</v>
      </c>
      <c r="G130" s="141">
        <v>25374.076000000001</v>
      </c>
      <c r="H130" s="141">
        <v>670</v>
      </c>
      <c r="I130" s="141">
        <v>3.1760000000000002</v>
      </c>
      <c r="J130" s="141">
        <v>1130.038</v>
      </c>
      <c r="K130" s="141">
        <v>15793.934000000001</v>
      </c>
      <c r="L130" s="141">
        <v>18240.072</v>
      </c>
      <c r="M130" s="141">
        <v>40</v>
      </c>
      <c r="N130" s="141">
        <v>123</v>
      </c>
      <c r="O130" s="623">
        <f t="shared" si="8"/>
        <v>0.24539877300613497</v>
      </c>
      <c r="P130" s="140">
        <f>O130*K130</f>
        <v>3875.8120245398777</v>
      </c>
    </row>
    <row r="131" spans="1:16" s="382" customFormat="1" ht="17.100000000000001" customHeight="1">
      <c r="A131" s="136" t="s">
        <v>1784</v>
      </c>
      <c r="B131" s="135" t="s">
        <v>3641</v>
      </c>
      <c r="C131" s="136" t="s">
        <v>3642</v>
      </c>
      <c r="D131" s="136" t="s">
        <v>700</v>
      </c>
      <c r="E131" s="136" t="s">
        <v>1571</v>
      </c>
      <c r="F131" s="419">
        <v>43100</v>
      </c>
      <c r="G131" s="140">
        <v>25151.098000000002</v>
      </c>
      <c r="H131" s="140">
        <v>122</v>
      </c>
      <c r="I131" s="143" t="s">
        <v>189</v>
      </c>
      <c r="J131" s="140">
        <v>475.017</v>
      </c>
      <c r="K131" s="140">
        <v>6164.99</v>
      </c>
      <c r="L131" s="140">
        <v>9984.6270000000004</v>
      </c>
      <c r="M131" s="143"/>
      <c r="N131" s="143"/>
      <c r="O131" s="623" t="e">
        <f t="shared" si="8"/>
        <v>#DIV/0!</v>
      </c>
      <c r="P131" s="140"/>
    </row>
    <row r="132" spans="1:16" s="382" customFormat="1" ht="29.45" customHeight="1">
      <c r="A132" s="138" t="s">
        <v>1786</v>
      </c>
      <c r="B132" s="137" t="s">
        <v>3643</v>
      </c>
      <c r="C132" s="138" t="s">
        <v>3644</v>
      </c>
      <c r="D132" s="138" t="s">
        <v>3645</v>
      </c>
      <c r="E132" s="138" t="s">
        <v>1571</v>
      </c>
      <c r="F132" s="420">
        <v>43100</v>
      </c>
      <c r="G132" s="141">
        <v>25111</v>
      </c>
      <c r="H132" s="141">
        <v>87</v>
      </c>
      <c r="I132" s="141">
        <v>-350</v>
      </c>
      <c r="J132" s="141">
        <v>1362</v>
      </c>
      <c r="K132" s="141">
        <v>4621</v>
      </c>
      <c r="L132" s="141">
        <v>6309</v>
      </c>
      <c r="M132" s="141">
        <v>27.17</v>
      </c>
      <c r="N132" s="141">
        <v>95</v>
      </c>
      <c r="O132" s="623">
        <f t="shared" si="8"/>
        <v>0.22239502332814931</v>
      </c>
      <c r="P132" s="140">
        <f t="shared" ref="P132:P142" si="10">O132*K132</f>
        <v>1027.6874027993779</v>
      </c>
    </row>
    <row r="133" spans="1:16" s="382" customFormat="1" ht="17.100000000000001" customHeight="1">
      <c r="A133" s="136" t="s">
        <v>1789</v>
      </c>
      <c r="B133" s="135" t="s">
        <v>3646</v>
      </c>
      <c r="C133" s="136" t="s">
        <v>3647</v>
      </c>
      <c r="D133" s="136" t="s">
        <v>1190</v>
      </c>
      <c r="E133" s="136" t="s">
        <v>1571</v>
      </c>
      <c r="F133" s="419">
        <v>43100</v>
      </c>
      <c r="G133" s="140">
        <v>25072.83509</v>
      </c>
      <c r="H133" s="140">
        <v>47</v>
      </c>
      <c r="I133" s="140">
        <v>45.604080000000003</v>
      </c>
      <c r="J133" s="140">
        <v>432.42152000000004</v>
      </c>
      <c r="K133" s="140">
        <v>2021.5785900000001</v>
      </c>
      <c r="L133" s="140">
        <v>2818.4703899999995</v>
      </c>
      <c r="M133" s="140">
        <v>14</v>
      </c>
      <c r="N133" s="140">
        <v>73</v>
      </c>
      <c r="O133" s="623">
        <f t="shared" si="8"/>
        <v>0.16091954022988506</v>
      </c>
      <c r="P133" s="140">
        <f t="shared" si="10"/>
        <v>325.3114972413793</v>
      </c>
    </row>
    <row r="134" spans="1:16" s="382" customFormat="1" ht="43.15" customHeight="1">
      <c r="A134" s="138" t="s">
        <v>1791</v>
      </c>
      <c r="B134" s="137" t="s">
        <v>3648</v>
      </c>
      <c r="C134" s="138" t="s">
        <v>3649</v>
      </c>
      <c r="D134" s="138" t="s">
        <v>1266</v>
      </c>
      <c r="E134" s="138" t="s">
        <v>1571</v>
      </c>
      <c r="F134" s="420">
        <v>43100</v>
      </c>
      <c r="G134" s="141">
        <v>24638.929</v>
      </c>
      <c r="H134" s="141">
        <v>62</v>
      </c>
      <c r="I134" s="141">
        <v>95.236000000000004</v>
      </c>
      <c r="J134" s="141">
        <v>221.58700000000002</v>
      </c>
      <c r="K134" s="141">
        <v>3035.0370000000003</v>
      </c>
      <c r="L134" s="141">
        <v>3681.5720000000001</v>
      </c>
      <c r="M134" s="141">
        <v>11</v>
      </c>
      <c r="N134" s="141">
        <v>34</v>
      </c>
      <c r="O134" s="623">
        <f t="shared" si="8"/>
        <v>0.24444444444444444</v>
      </c>
      <c r="P134" s="140">
        <f t="shared" si="10"/>
        <v>741.89793333333341</v>
      </c>
    </row>
    <row r="135" spans="1:16" s="382" customFormat="1" ht="17.100000000000001" customHeight="1">
      <c r="A135" s="136" t="s">
        <v>1793</v>
      </c>
      <c r="B135" s="135" t="s">
        <v>3650</v>
      </c>
      <c r="C135" s="136" t="s">
        <v>3651</v>
      </c>
      <c r="D135" s="136" t="s">
        <v>681</v>
      </c>
      <c r="E135" s="136" t="s">
        <v>1571</v>
      </c>
      <c r="F135" s="419">
        <v>43100</v>
      </c>
      <c r="G135" s="140">
        <v>24605.629000000001</v>
      </c>
      <c r="H135" s="140">
        <v>885</v>
      </c>
      <c r="I135" s="140">
        <v>142.72900000000001</v>
      </c>
      <c r="J135" s="140">
        <v>352.85399999999998</v>
      </c>
      <c r="K135" s="140">
        <v>20153.834999999999</v>
      </c>
      <c r="L135" s="140">
        <v>21380.824000000001</v>
      </c>
      <c r="M135" s="140">
        <v>22</v>
      </c>
      <c r="N135" s="140">
        <v>46</v>
      </c>
      <c r="O135" s="623">
        <f t="shared" si="8"/>
        <v>0.3235294117647059</v>
      </c>
      <c r="P135" s="140">
        <f t="shared" si="10"/>
        <v>6520.3583823529416</v>
      </c>
    </row>
    <row r="136" spans="1:16" s="382" customFormat="1" ht="29.45" customHeight="1">
      <c r="A136" s="138" t="s">
        <v>1795</v>
      </c>
      <c r="B136" s="137" t="s">
        <v>3652</v>
      </c>
      <c r="C136" s="138" t="s">
        <v>3653</v>
      </c>
      <c r="D136" s="138" t="s">
        <v>969</v>
      </c>
      <c r="E136" s="138" t="s">
        <v>1571</v>
      </c>
      <c r="F136" s="420">
        <v>43100</v>
      </c>
      <c r="G136" s="141">
        <v>23425.272000000001</v>
      </c>
      <c r="H136" s="141">
        <v>90</v>
      </c>
      <c r="I136" s="141">
        <v>-3782.7870000000003</v>
      </c>
      <c r="J136" s="141">
        <v>-22886.427</v>
      </c>
      <c r="K136" s="141">
        <v>7610.6379999999999</v>
      </c>
      <c r="L136" s="141">
        <v>-16724.032999999999</v>
      </c>
      <c r="M136" s="141">
        <v>298</v>
      </c>
      <c r="N136" s="141">
        <v>588</v>
      </c>
      <c r="O136" s="623">
        <f t="shared" si="8"/>
        <v>0.33634311512415349</v>
      </c>
      <c r="P136" s="140">
        <f t="shared" si="10"/>
        <v>2559.7856930022572</v>
      </c>
    </row>
    <row r="137" spans="1:16" s="382" customFormat="1" ht="29.45" customHeight="1">
      <c r="A137" s="136" t="s">
        <v>1798</v>
      </c>
      <c r="B137" s="135" t="s">
        <v>3654</v>
      </c>
      <c r="C137" s="136" t="s">
        <v>3655</v>
      </c>
      <c r="D137" s="136" t="s">
        <v>811</v>
      </c>
      <c r="E137" s="136" t="s">
        <v>1571</v>
      </c>
      <c r="F137" s="419">
        <v>43100</v>
      </c>
      <c r="G137" s="140">
        <v>22590.885679999999</v>
      </c>
      <c r="H137" s="140">
        <v>179</v>
      </c>
      <c r="I137" s="140">
        <v>93.887500000000003</v>
      </c>
      <c r="J137" s="140">
        <v>797.61714000000006</v>
      </c>
      <c r="K137" s="140">
        <v>5707.2622599999995</v>
      </c>
      <c r="L137" s="140">
        <v>7581.0777090000001</v>
      </c>
      <c r="M137" s="140">
        <v>37</v>
      </c>
      <c r="N137" s="140">
        <v>51</v>
      </c>
      <c r="O137" s="623">
        <f t="shared" si="8"/>
        <v>0.42045454545454547</v>
      </c>
      <c r="P137" s="140">
        <f t="shared" si="10"/>
        <v>2399.6443593181816</v>
      </c>
    </row>
    <row r="138" spans="1:16" s="382" customFormat="1" ht="29.45" customHeight="1">
      <c r="A138" s="138" t="s">
        <v>1801</v>
      </c>
      <c r="B138" s="137" t="s">
        <v>3656</v>
      </c>
      <c r="C138" s="138" t="s">
        <v>3657</v>
      </c>
      <c r="D138" s="138" t="s">
        <v>1266</v>
      </c>
      <c r="E138" s="138" t="s">
        <v>1571</v>
      </c>
      <c r="F138" s="420">
        <v>42735</v>
      </c>
      <c r="G138" s="141">
        <v>22452.550999999999</v>
      </c>
      <c r="H138" s="141">
        <v>177</v>
      </c>
      <c r="I138" s="141">
        <v>15.563000000000001</v>
      </c>
      <c r="J138" s="141">
        <v>670.64300000000003</v>
      </c>
      <c r="K138" s="141">
        <v>8330.3189999999995</v>
      </c>
      <c r="L138" s="141">
        <v>10638.085999999999</v>
      </c>
      <c r="M138" s="141">
        <v>174</v>
      </c>
      <c r="N138" s="141">
        <v>29</v>
      </c>
      <c r="O138" s="623">
        <f t="shared" si="8"/>
        <v>0.8571428571428571</v>
      </c>
      <c r="P138" s="140">
        <f t="shared" si="10"/>
        <v>7140.2734285714278</v>
      </c>
    </row>
    <row r="139" spans="1:16" s="382" customFormat="1" ht="29.45" customHeight="1">
      <c r="A139" s="136" t="s">
        <v>1803</v>
      </c>
      <c r="B139" s="135" t="s">
        <v>3658</v>
      </c>
      <c r="C139" s="136" t="s">
        <v>3659</v>
      </c>
      <c r="D139" s="136" t="s">
        <v>753</v>
      </c>
      <c r="E139" s="136" t="s">
        <v>1571</v>
      </c>
      <c r="F139" s="419">
        <v>42735</v>
      </c>
      <c r="G139" s="140">
        <v>22128.712670000001</v>
      </c>
      <c r="H139" s="140">
        <v>161</v>
      </c>
      <c r="I139" s="140">
        <v>609.05918999999994</v>
      </c>
      <c r="J139" s="140">
        <v>6166.1455599999999</v>
      </c>
      <c r="K139" s="140">
        <v>5436.2406599999995</v>
      </c>
      <c r="L139" s="140">
        <v>13420.111238999998</v>
      </c>
      <c r="M139" s="140">
        <v>46</v>
      </c>
      <c r="N139" s="140">
        <v>139</v>
      </c>
      <c r="O139" s="623">
        <f t="shared" si="8"/>
        <v>0.24864864864864866</v>
      </c>
      <c r="P139" s="140">
        <f t="shared" si="10"/>
        <v>1351.7138938378378</v>
      </c>
    </row>
    <row r="140" spans="1:16" s="382" customFormat="1" ht="29.45" customHeight="1">
      <c r="A140" s="138" t="s">
        <v>1805</v>
      </c>
      <c r="B140" s="137" t="s">
        <v>3660</v>
      </c>
      <c r="C140" s="138" t="s">
        <v>3661</v>
      </c>
      <c r="D140" s="138" t="s">
        <v>596</v>
      </c>
      <c r="E140" s="138" t="s">
        <v>1571</v>
      </c>
      <c r="F140" s="420">
        <v>43100</v>
      </c>
      <c r="G140" s="141">
        <v>22016</v>
      </c>
      <c r="H140" s="141">
        <v>49</v>
      </c>
      <c r="I140" s="141">
        <v>125</v>
      </c>
      <c r="J140" s="141">
        <v>322</v>
      </c>
      <c r="K140" s="141">
        <v>3627</v>
      </c>
      <c r="L140" s="141">
        <v>4323</v>
      </c>
      <c r="M140" s="141">
        <v>24</v>
      </c>
      <c r="N140" s="141">
        <v>57</v>
      </c>
      <c r="O140" s="623">
        <f t="shared" si="8"/>
        <v>0.29629629629629628</v>
      </c>
      <c r="P140" s="140">
        <f t="shared" si="10"/>
        <v>1074.6666666666665</v>
      </c>
    </row>
    <row r="141" spans="1:16" s="382" customFormat="1" ht="17.100000000000001" customHeight="1">
      <c r="A141" s="136" t="s">
        <v>1807</v>
      </c>
      <c r="B141" s="135" t="s">
        <v>3662</v>
      </c>
      <c r="C141" s="136" t="s">
        <v>3663</v>
      </c>
      <c r="D141" s="136" t="s">
        <v>1456</v>
      </c>
      <c r="E141" s="136" t="s">
        <v>1571</v>
      </c>
      <c r="F141" s="419">
        <v>43100</v>
      </c>
      <c r="G141" s="140">
        <v>21179.284</v>
      </c>
      <c r="H141" s="140">
        <v>591</v>
      </c>
      <c r="I141" s="143" t="s">
        <v>189</v>
      </c>
      <c r="J141" s="140">
        <v>-171.59121000000002</v>
      </c>
      <c r="K141" s="140">
        <v>19266.586719999999</v>
      </c>
      <c r="L141" s="140">
        <v>19254.174728999998</v>
      </c>
      <c r="M141" s="140">
        <v>377.16</v>
      </c>
      <c r="N141" s="140">
        <v>41.660000000000004</v>
      </c>
      <c r="O141" s="623">
        <f t="shared" si="8"/>
        <v>0.90053006064657848</v>
      </c>
      <c r="P141" s="140">
        <f t="shared" si="10"/>
        <v>17350.140507414162</v>
      </c>
    </row>
    <row r="142" spans="1:16" s="382" customFormat="1" ht="29.45" customHeight="1">
      <c r="A142" s="138" t="s">
        <v>1809</v>
      </c>
      <c r="B142" s="137" t="s">
        <v>1757</v>
      </c>
      <c r="C142" s="138" t="s">
        <v>1413</v>
      </c>
      <c r="D142" s="138" t="s">
        <v>1411</v>
      </c>
      <c r="E142" s="138" t="s">
        <v>1571</v>
      </c>
      <c r="F142" s="420">
        <v>43100</v>
      </c>
      <c r="G142" s="141">
        <v>21140.86</v>
      </c>
      <c r="H142" s="141">
        <v>82</v>
      </c>
      <c r="I142" s="141">
        <v>641.98699999999997</v>
      </c>
      <c r="J142" s="141">
        <v>2077.4700000000003</v>
      </c>
      <c r="K142" s="141">
        <v>3574.2020000000002</v>
      </c>
      <c r="L142" s="141">
        <v>7170.2520000000004</v>
      </c>
      <c r="M142" s="141">
        <v>30</v>
      </c>
      <c r="N142" s="141">
        <v>52</v>
      </c>
      <c r="O142" s="623">
        <f t="shared" si="8"/>
        <v>0.36585365853658536</v>
      </c>
      <c r="P142" s="140">
        <f t="shared" si="10"/>
        <v>1307.6348780487806</v>
      </c>
    </row>
    <row r="143" spans="1:16" s="382" customFormat="1" ht="17.100000000000001" customHeight="1">
      <c r="A143" s="136" t="s">
        <v>1811</v>
      </c>
      <c r="B143" s="135" t="s">
        <v>3664</v>
      </c>
      <c r="C143" s="136" t="s">
        <v>3665</v>
      </c>
      <c r="D143" s="136" t="s">
        <v>971</v>
      </c>
      <c r="E143" s="136" t="s">
        <v>1571</v>
      </c>
      <c r="F143" s="419">
        <v>43100</v>
      </c>
      <c r="G143" s="140">
        <v>21017.60428</v>
      </c>
      <c r="H143" s="140">
        <v>68</v>
      </c>
      <c r="I143" s="140">
        <v>545.48506000000009</v>
      </c>
      <c r="J143" s="140">
        <v>2772.9281299999998</v>
      </c>
      <c r="K143" s="140">
        <v>3363.5533099999998</v>
      </c>
      <c r="L143" s="140">
        <v>7164.9646889999995</v>
      </c>
      <c r="M143" s="143"/>
      <c r="N143" s="143"/>
      <c r="O143" s="623" t="e">
        <f t="shared" si="8"/>
        <v>#DIV/0!</v>
      </c>
      <c r="P143" s="140"/>
    </row>
    <row r="144" spans="1:16" s="382" customFormat="1" ht="17.100000000000001" customHeight="1">
      <c r="A144" s="138" t="s">
        <v>1813</v>
      </c>
      <c r="B144" s="137" t="s">
        <v>3666</v>
      </c>
      <c r="C144" s="138" t="s">
        <v>3667</v>
      </c>
      <c r="D144" s="138" t="s">
        <v>1501</v>
      </c>
      <c r="E144" s="138" t="s">
        <v>1571</v>
      </c>
      <c r="F144" s="420">
        <v>43100</v>
      </c>
      <c r="G144" s="141">
        <v>20922.16156</v>
      </c>
      <c r="H144" s="141">
        <v>28</v>
      </c>
      <c r="I144" s="141">
        <v>10.892040000000001</v>
      </c>
      <c r="J144" s="141">
        <v>48.441110000000002</v>
      </c>
      <c r="K144" s="141">
        <v>1662.5445200000001</v>
      </c>
      <c r="L144" s="141">
        <v>2026.2633700000001</v>
      </c>
      <c r="M144" s="141">
        <v>8</v>
      </c>
      <c r="N144" s="141">
        <v>23</v>
      </c>
      <c r="O144" s="623">
        <f t="shared" si="8"/>
        <v>0.25806451612903225</v>
      </c>
      <c r="P144" s="140">
        <f>O144*K144</f>
        <v>429.04374709677421</v>
      </c>
    </row>
    <row r="145" spans="1:16" s="382" customFormat="1" ht="29.45" customHeight="1">
      <c r="A145" s="136" t="s">
        <v>1815</v>
      </c>
      <c r="B145" s="135" t="s">
        <v>3668</v>
      </c>
      <c r="C145" s="136" t="s">
        <v>3669</v>
      </c>
      <c r="D145" s="136" t="s">
        <v>1788</v>
      </c>
      <c r="E145" s="136" t="s">
        <v>1571</v>
      </c>
      <c r="F145" s="419">
        <v>43100</v>
      </c>
      <c r="G145" s="140">
        <v>20112.699000000001</v>
      </c>
      <c r="H145" s="140">
        <v>29</v>
      </c>
      <c r="I145" s="140">
        <v>-23.962</v>
      </c>
      <c r="J145" s="140">
        <v>398.524</v>
      </c>
      <c r="K145" s="140">
        <v>1664.4170000000001</v>
      </c>
      <c r="L145" s="140">
        <v>2265.7840000000001</v>
      </c>
      <c r="M145" s="143"/>
      <c r="N145" s="143"/>
      <c r="O145" s="623" t="e">
        <f t="shared" si="8"/>
        <v>#DIV/0!</v>
      </c>
      <c r="P145" s="140"/>
    </row>
    <row r="146" spans="1:16" s="382" customFormat="1" ht="29.45" customHeight="1">
      <c r="A146" s="138" t="s">
        <v>1817</v>
      </c>
      <c r="B146" s="137" t="s">
        <v>1771</v>
      </c>
      <c r="C146" s="138" t="s">
        <v>1258</v>
      </c>
      <c r="D146" s="138" t="s">
        <v>1251</v>
      </c>
      <c r="E146" s="138" t="s">
        <v>1571</v>
      </c>
      <c r="F146" s="420">
        <v>43100</v>
      </c>
      <c r="G146" s="141">
        <v>20011.959959999996</v>
      </c>
      <c r="H146" s="141">
        <v>21</v>
      </c>
      <c r="I146" s="141">
        <v>68.34217000000001</v>
      </c>
      <c r="J146" s="141">
        <v>160.47057000000001</v>
      </c>
      <c r="K146" s="141">
        <v>760.06366999999989</v>
      </c>
      <c r="L146" s="141">
        <v>1662.68507</v>
      </c>
      <c r="M146" s="141">
        <v>12</v>
      </c>
      <c r="N146" s="141">
        <v>7</v>
      </c>
      <c r="O146" s="623">
        <f t="shared" si="8"/>
        <v>0.63157894736842102</v>
      </c>
      <c r="P146" s="140">
        <f t="shared" ref="P146:P152" si="11">O146*K146</f>
        <v>480.04021263157887</v>
      </c>
    </row>
    <row r="147" spans="1:16" s="382" customFormat="1" ht="29.45" customHeight="1">
      <c r="A147" s="136" t="s">
        <v>1819</v>
      </c>
      <c r="B147" s="135" t="s">
        <v>3670</v>
      </c>
      <c r="C147" s="136" t="s">
        <v>3671</v>
      </c>
      <c r="D147" s="136" t="s">
        <v>596</v>
      </c>
      <c r="E147" s="136" t="s">
        <v>1571</v>
      </c>
      <c r="F147" s="419">
        <v>43100</v>
      </c>
      <c r="G147" s="140">
        <v>19677</v>
      </c>
      <c r="H147" s="140">
        <v>53</v>
      </c>
      <c r="I147" s="143" t="s">
        <v>189</v>
      </c>
      <c r="J147" s="140">
        <v>315</v>
      </c>
      <c r="K147" s="140">
        <v>2948</v>
      </c>
      <c r="L147" s="140">
        <v>3450</v>
      </c>
      <c r="M147" s="140">
        <v>9</v>
      </c>
      <c r="N147" s="140">
        <v>46</v>
      </c>
      <c r="O147" s="623">
        <f t="shared" si="8"/>
        <v>0.16363636363636364</v>
      </c>
      <c r="P147" s="140">
        <f t="shared" si="11"/>
        <v>482.4</v>
      </c>
    </row>
    <row r="148" spans="1:16" s="382" customFormat="1" ht="29.45" customHeight="1">
      <c r="A148" s="138" t="s">
        <v>1821</v>
      </c>
      <c r="B148" s="137" t="s">
        <v>1775</v>
      </c>
      <c r="C148" s="138" t="s">
        <v>961</v>
      </c>
      <c r="D148" s="138" t="s">
        <v>811</v>
      </c>
      <c r="E148" s="138" t="s">
        <v>1571</v>
      </c>
      <c r="F148" s="420">
        <v>43190</v>
      </c>
      <c r="G148" s="141">
        <v>19466</v>
      </c>
      <c r="H148" s="141">
        <v>283</v>
      </c>
      <c r="I148" s="141">
        <v>-12</v>
      </c>
      <c r="J148" s="141">
        <v>-158</v>
      </c>
      <c r="K148" s="141">
        <v>9259</v>
      </c>
      <c r="L148" s="141">
        <v>11081</v>
      </c>
      <c r="M148" s="141">
        <v>112</v>
      </c>
      <c r="N148" s="141">
        <v>157.18</v>
      </c>
      <c r="O148" s="623">
        <f t="shared" si="8"/>
        <v>0.4160784605096961</v>
      </c>
      <c r="P148" s="140">
        <f t="shared" si="11"/>
        <v>3852.4704658592764</v>
      </c>
    </row>
    <row r="149" spans="1:16" s="382" customFormat="1" ht="29.45" customHeight="1">
      <c r="A149" s="136" t="s">
        <v>1823</v>
      </c>
      <c r="B149" s="135" t="s">
        <v>1785</v>
      </c>
      <c r="C149" s="136" t="s">
        <v>812</v>
      </c>
      <c r="D149" s="136" t="s">
        <v>811</v>
      </c>
      <c r="E149" s="136" t="s">
        <v>1571</v>
      </c>
      <c r="F149" s="419">
        <v>43100</v>
      </c>
      <c r="G149" s="140">
        <v>18342.132000000001</v>
      </c>
      <c r="H149" s="140">
        <v>66</v>
      </c>
      <c r="I149" s="143" t="s">
        <v>189</v>
      </c>
      <c r="J149" s="140">
        <v>341.05900000000003</v>
      </c>
      <c r="K149" s="140">
        <v>3141.4679999999998</v>
      </c>
      <c r="L149" s="140">
        <v>3864.8809999999999</v>
      </c>
      <c r="M149" s="140">
        <v>9</v>
      </c>
      <c r="N149" s="140">
        <v>55</v>
      </c>
      <c r="O149" s="623">
        <f t="shared" si="8"/>
        <v>0.140625</v>
      </c>
      <c r="P149" s="140">
        <f t="shared" si="11"/>
        <v>441.76893749999999</v>
      </c>
    </row>
    <row r="150" spans="1:16" s="382" customFormat="1" ht="17.100000000000001" customHeight="1">
      <c r="A150" s="138" t="s">
        <v>1826</v>
      </c>
      <c r="B150" s="137" t="s">
        <v>1794</v>
      </c>
      <c r="C150" s="138" t="s">
        <v>984</v>
      </c>
      <c r="D150" s="138" t="s">
        <v>975</v>
      </c>
      <c r="E150" s="138" t="s">
        <v>1571</v>
      </c>
      <c r="F150" s="420">
        <v>43100</v>
      </c>
      <c r="G150" s="141">
        <v>17432.742870000002</v>
      </c>
      <c r="H150" s="141">
        <v>465</v>
      </c>
      <c r="I150" s="141">
        <v>-216.73969</v>
      </c>
      <c r="J150" s="141">
        <v>383.40033</v>
      </c>
      <c r="K150" s="141">
        <v>8802.0099200000004</v>
      </c>
      <c r="L150" s="141">
        <v>9674.5947099999994</v>
      </c>
      <c r="M150" s="141">
        <v>181.44</v>
      </c>
      <c r="N150" s="141">
        <v>56.36</v>
      </c>
      <c r="O150" s="623">
        <f t="shared" si="8"/>
        <v>0.7629941126997476</v>
      </c>
      <c r="P150" s="140">
        <f t="shared" si="11"/>
        <v>6715.8817488847762</v>
      </c>
    </row>
    <row r="151" spans="1:16" s="382" customFormat="1" ht="29.45" customHeight="1">
      <c r="A151" s="136" t="s">
        <v>1828</v>
      </c>
      <c r="B151" s="135" t="s">
        <v>3672</v>
      </c>
      <c r="C151" s="136" t="s">
        <v>3673</v>
      </c>
      <c r="D151" s="136" t="s">
        <v>2269</v>
      </c>
      <c r="E151" s="136" t="s">
        <v>1571</v>
      </c>
      <c r="F151" s="419">
        <v>43100</v>
      </c>
      <c r="G151" s="140">
        <v>17416</v>
      </c>
      <c r="H151" s="140">
        <v>62</v>
      </c>
      <c r="I151" s="143" t="s">
        <v>189</v>
      </c>
      <c r="J151" s="140">
        <v>515</v>
      </c>
      <c r="K151" s="140">
        <v>3192</v>
      </c>
      <c r="L151" s="140">
        <v>4652</v>
      </c>
      <c r="M151" s="140">
        <v>8</v>
      </c>
      <c r="N151" s="140">
        <v>56</v>
      </c>
      <c r="O151" s="623">
        <f t="shared" si="8"/>
        <v>0.125</v>
      </c>
      <c r="P151" s="140">
        <f t="shared" si="11"/>
        <v>399</v>
      </c>
    </row>
    <row r="152" spans="1:16" s="382" customFormat="1" ht="29.45" customHeight="1">
      <c r="A152" s="138" t="s">
        <v>1830</v>
      </c>
      <c r="B152" s="137" t="s">
        <v>1806</v>
      </c>
      <c r="C152" s="138" t="s">
        <v>1174</v>
      </c>
      <c r="D152" s="138" t="s">
        <v>1168</v>
      </c>
      <c r="E152" s="138" t="s">
        <v>1571</v>
      </c>
      <c r="F152" s="420">
        <v>43100</v>
      </c>
      <c r="G152" s="141">
        <v>16508.574769999999</v>
      </c>
      <c r="H152" s="141">
        <v>42</v>
      </c>
      <c r="I152" s="141">
        <v>147.22944000000001</v>
      </c>
      <c r="J152" s="141">
        <v>484.32332000000002</v>
      </c>
      <c r="K152" s="141">
        <v>2042.24557</v>
      </c>
      <c r="L152" s="141">
        <v>3023.3410800000001</v>
      </c>
      <c r="M152" s="141">
        <v>2</v>
      </c>
      <c r="N152" s="141">
        <v>38</v>
      </c>
      <c r="O152" s="623">
        <f t="shared" si="8"/>
        <v>0.05</v>
      </c>
      <c r="P152" s="140">
        <f t="shared" si="11"/>
        <v>102.1122785</v>
      </c>
    </row>
    <row r="153" spans="1:16" s="382" customFormat="1" ht="29.45" customHeight="1">
      <c r="A153" s="136" t="s">
        <v>1832</v>
      </c>
      <c r="B153" s="421" t="s">
        <v>3674</v>
      </c>
      <c r="C153" s="136" t="s">
        <v>3675</v>
      </c>
      <c r="D153" s="136" t="s">
        <v>975</v>
      </c>
      <c r="E153" s="136" t="s">
        <v>1571</v>
      </c>
      <c r="F153" s="419">
        <v>37256</v>
      </c>
      <c r="G153" s="140">
        <v>16425.240000000002</v>
      </c>
      <c r="H153" s="140">
        <v>163</v>
      </c>
      <c r="I153" s="143" t="s">
        <v>189</v>
      </c>
      <c r="J153" s="140">
        <v>-299.26</v>
      </c>
      <c r="K153" s="140">
        <v>4040.71</v>
      </c>
      <c r="L153" s="140">
        <v>4942.72</v>
      </c>
      <c r="M153" s="143"/>
      <c r="N153" s="143"/>
      <c r="O153" s="623" t="e">
        <f t="shared" si="8"/>
        <v>#DIV/0!</v>
      </c>
      <c r="P153" s="140"/>
    </row>
    <row r="154" spans="1:16" s="382" customFormat="1" ht="29.45" customHeight="1">
      <c r="A154" s="138" t="s">
        <v>1834</v>
      </c>
      <c r="B154" s="137" t="s">
        <v>1808</v>
      </c>
      <c r="C154" s="138" t="s">
        <v>1297</v>
      </c>
      <c r="D154" s="138" t="s">
        <v>1266</v>
      </c>
      <c r="E154" s="138" t="s">
        <v>1571</v>
      </c>
      <c r="F154" s="420">
        <v>43100</v>
      </c>
      <c r="G154" s="141">
        <v>16386.555</v>
      </c>
      <c r="H154" s="141">
        <v>58</v>
      </c>
      <c r="I154" s="141">
        <v>-49.005000000000003</v>
      </c>
      <c r="J154" s="141">
        <v>-394.59199999999998</v>
      </c>
      <c r="K154" s="141">
        <v>2588.0639999999999</v>
      </c>
      <c r="L154" s="141">
        <v>2700.306</v>
      </c>
      <c r="M154" s="141">
        <v>7</v>
      </c>
      <c r="N154" s="141">
        <v>52</v>
      </c>
      <c r="O154" s="623">
        <f t="shared" si="8"/>
        <v>0.11864406779661017</v>
      </c>
      <c r="P154" s="140">
        <f>O154*K154</f>
        <v>307.05844067796608</v>
      </c>
    </row>
    <row r="155" spans="1:16" s="382" customFormat="1" ht="17.100000000000001" customHeight="1">
      <c r="A155" s="136" t="s">
        <v>1836</v>
      </c>
      <c r="B155" s="135" t="s">
        <v>1814</v>
      </c>
      <c r="C155" s="136" t="s">
        <v>951</v>
      </c>
      <c r="D155" s="136" t="s">
        <v>811</v>
      </c>
      <c r="E155" s="136" t="s">
        <v>1571</v>
      </c>
      <c r="F155" s="419">
        <v>42735</v>
      </c>
      <c r="G155" s="140">
        <v>16038.28104</v>
      </c>
      <c r="H155" s="140">
        <v>456</v>
      </c>
      <c r="I155" s="143" t="s">
        <v>189</v>
      </c>
      <c r="J155" s="140">
        <v>216.54040000000001</v>
      </c>
      <c r="K155" s="140">
        <v>14100.800719999999</v>
      </c>
      <c r="L155" s="140">
        <v>14485.548950000002</v>
      </c>
      <c r="M155" s="143"/>
      <c r="N155" s="143"/>
      <c r="O155" s="623" t="e">
        <f t="shared" ref="O155:O218" si="12">M155/(M155+N155)</f>
        <v>#DIV/0!</v>
      </c>
      <c r="P155" s="140"/>
    </row>
    <row r="156" spans="1:16" s="382" customFormat="1" ht="17.100000000000001" customHeight="1">
      <c r="A156" s="138" t="s">
        <v>1838</v>
      </c>
      <c r="B156" s="137" t="s">
        <v>3676</v>
      </c>
      <c r="C156" s="138" t="s">
        <v>3677</v>
      </c>
      <c r="D156" s="138" t="s">
        <v>811</v>
      </c>
      <c r="E156" s="138" t="s">
        <v>1571</v>
      </c>
      <c r="F156" s="420">
        <v>43100</v>
      </c>
      <c r="G156" s="141">
        <v>16024.505350000001</v>
      </c>
      <c r="H156" s="141">
        <v>41</v>
      </c>
      <c r="I156" s="141">
        <v>21.031470000000002</v>
      </c>
      <c r="J156" s="141">
        <v>118.74073</v>
      </c>
      <c r="K156" s="141">
        <v>2100.5161499999999</v>
      </c>
      <c r="L156" s="141">
        <v>2260.15805</v>
      </c>
      <c r="M156" s="141">
        <v>15</v>
      </c>
      <c r="N156" s="141">
        <v>30</v>
      </c>
      <c r="O156" s="623">
        <f t="shared" si="12"/>
        <v>0.33333333333333331</v>
      </c>
      <c r="P156" s="140">
        <f t="shared" ref="P156:P162" si="13">O156*K156</f>
        <v>700.1720499999999</v>
      </c>
    </row>
    <row r="157" spans="1:16" s="382" customFormat="1" ht="29.45" customHeight="1">
      <c r="A157" s="136" t="s">
        <v>1841</v>
      </c>
      <c r="B157" s="135" t="s">
        <v>3678</v>
      </c>
      <c r="C157" s="136" t="s">
        <v>3679</v>
      </c>
      <c r="D157" s="136" t="s">
        <v>596</v>
      </c>
      <c r="E157" s="136" t="s">
        <v>1571</v>
      </c>
      <c r="F157" s="419">
        <v>42369</v>
      </c>
      <c r="G157" s="140">
        <v>15744.202500000001</v>
      </c>
      <c r="H157" s="140">
        <v>29</v>
      </c>
      <c r="I157" s="143" t="s">
        <v>189</v>
      </c>
      <c r="J157" s="140">
        <v>644.07902999999999</v>
      </c>
      <c r="K157" s="140">
        <v>1551.3666300000002</v>
      </c>
      <c r="L157" s="140">
        <v>2633.8400799999999</v>
      </c>
      <c r="M157" s="140">
        <v>7</v>
      </c>
      <c r="N157" s="140">
        <v>22</v>
      </c>
      <c r="O157" s="623">
        <f t="shared" si="12"/>
        <v>0.2413793103448276</v>
      </c>
      <c r="P157" s="140">
        <f t="shared" si="13"/>
        <v>374.46780724137938</v>
      </c>
    </row>
    <row r="158" spans="1:16" s="382" customFormat="1" ht="29.45" customHeight="1">
      <c r="A158" s="138" t="s">
        <v>1843</v>
      </c>
      <c r="B158" s="137" t="s">
        <v>3680</v>
      </c>
      <c r="C158" s="138" t="s">
        <v>3681</v>
      </c>
      <c r="D158" s="138" t="s">
        <v>596</v>
      </c>
      <c r="E158" s="138" t="s">
        <v>1571</v>
      </c>
      <c r="F158" s="420">
        <v>43100</v>
      </c>
      <c r="G158" s="141">
        <v>15534</v>
      </c>
      <c r="H158" s="141">
        <v>257</v>
      </c>
      <c r="I158" s="141">
        <v>402</v>
      </c>
      <c r="J158" s="141">
        <v>1033</v>
      </c>
      <c r="K158" s="141">
        <v>12261</v>
      </c>
      <c r="L158" s="141">
        <v>13836</v>
      </c>
      <c r="M158" s="141">
        <v>63</v>
      </c>
      <c r="N158" s="141">
        <v>194</v>
      </c>
      <c r="O158" s="623">
        <f t="shared" si="12"/>
        <v>0.24513618677042801</v>
      </c>
      <c r="P158" s="140">
        <f t="shared" si="13"/>
        <v>3005.6147859922175</v>
      </c>
    </row>
    <row r="159" spans="1:16" s="382" customFormat="1" ht="29.45" customHeight="1">
      <c r="A159" s="136" t="s">
        <v>1845</v>
      </c>
      <c r="B159" s="135" t="s">
        <v>3682</v>
      </c>
      <c r="C159" s="136" t="s">
        <v>3683</v>
      </c>
      <c r="D159" s="136" t="s">
        <v>1456</v>
      </c>
      <c r="E159" s="136" t="s">
        <v>1571</v>
      </c>
      <c r="F159" s="419">
        <v>43100</v>
      </c>
      <c r="G159" s="140">
        <v>15513</v>
      </c>
      <c r="H159" s="140">
        <v>147</v>
      </c>
      <c r="I159" s="140">
        <v>95</v>
      </c>
      <c r="J159" s="140">
        <v>1273</v>
      </c>
      <c r="K159" s="140">
        <v>6672</v>
      </c>
      <c r="L159" s="140">
        <v>9756</v>
      </c>
      <c r="M159" s="140">
        <v>13</v>
      </c>
      <c r="N159" s="140">
        <v>134</v>
      </c>
      <c r="O159" s="623">
        <f t="shared" si="12"/>
        <v>8.8435374149659865E-2</v>
      </c>
      <c r="P159" s="140">
        <f t="shared" si="13"/>
        <v>590.0408163265306</v>
      </c>
    </row>
    <row r="160" spans="1:16" s="382" customFormat="1" ht="29.45" customHeight="1">
      <c r="A160" s="138" t="s">
        <v>1847</v>
      </c>
      <c r="B160" s="137" t="s">
        <v>1829</v>
      </c>
      <c r="C160" s="138" t="s">
        <v>1283</v>
      </c>
      <c r="D160" s="138" t="s">
        <v>1266</v>
      </c>
      <c r="E160" s="138" t="s">
        <v>1571</v>
      </c>
      <c r="F160" s="420">
        <v>43100</v>
      </c>
      <c r="G160" s="141">
        <v>15202.786870000002</v>
      </c>
      <c r="H160" s="141">
        <v>92</v>
      </c>
      <c r="I160" s="141">
        <v>-29.55621</v>
      </c>
      <c r="J160" s="141">
        <v>178.57854</v>
      </c>
      <c r="K160" s="141">
        <v>3007.9227500000002</v>
      </c>
      <c r="L160" s="141">
        <v>3662.1698899999997</v>
      </c>
      <c r="M160" s="141">
        <v>14</v>
      </c>
      <c r="N160" s="141">
        <v>78</v>
      </c>
      <c r="O160" s="623">
        <f t="shared" si="12"/>
        <v>0.15217391304347827</v>
      </c>
      <c r="P160" s="140">
        <f t="shared" si="13"/>
        <v>457.72737500000005</v>
      </c>
    </row>
    <row r="161" spans="1:16" s="382" customFormat="1" ht="17.100000000000001" customHeight="1">
      <c r="A161" s="136" t="s">
        <v>1849</v>
      </c>
      <c r="B161" s="135" t="s">
        <v>3684</v>
      </c>
      <c r="C161" s="136" t="s">
        <v>3685</v>
      </c>
      <c r="D161" s="136" t="s">
        <v>1669</v>
      </c>
      <c r="E161" s="136" t="s">
        <v>1571</v>
      </c>
      <c r="F161" s="419">
        <v>43100</v>
      </c>
      <c r="G161" s="140">
        <v>15172.548128999999</v>
      </c>
      <c r="H161" s="140">
        <v>161</v>
      </c>
      <c r="I161" s="140">
        <v>993.81614999999999</v>
      </c>
      <c r="J161" s="140">
        <v>3492.1176700000001</v>
      </c>
      <c r="K161" s="140">
        <v>9430.6984000000011</v>
      </c>
      <c r="L161" s="140">
        <v>13981.15494</v>
      </c>
      <c r="M161" s="140">
        <v>42</v>
      </c>
      <c r="N161" s="140">
        <v>151</v>
      </c>
      <c r="O161" s="623">
        <f t="shared" si="12"/>
        <v>0.21761658031088082</v>
      </c>
      <c r="P161" s="140">
        <f t="shared" si="13"/>
        <v>2052.2763357512954</v>
      </c>
    </row>
    <row r="162" spans="1:16" s="382" customFormat="1" ht="43.15" customHeight="1">
      <c r="A162" s="138" t="s">
        <v>1851</v>
      </c>
      <c r="B162" s="139" t="s">
        <v>3686</v>
      </c>
      <c r="C162" s="138" t="s">
        <v>3687</v>
      </c>
      <c r="D162" s="138" t="s">
        <v>811</v>
      </c>
      <c r="E162" s="138" t="s">
        <v>1571</v>
      </c>
      <c r="F162" s="420">
        <v>40543</v>
      </c>
      <c r="G162" s="141">
        <v>14903.776</v>
      </c>
      <c r="H162" s="141">
        <v>175</v>
      </c>
      <c r="I162" s="141">
        <v>-8.9730000000000008</v>
      </c>
      <c r="J162" s="141">
        <v>176.964</v>
      </c>
      <c r="K162" s="141">
        <v>6642.6970000000001</v>
      </c>
      <c r="L162" s="141">
        <v>7764.6760000000004</v>
      </c>
      <c r="M162" s="141">
        <v>154</v>
      </c>
      <c r="N162" s="141">
        <v>21</v>
      </c>
      <c r="O162" s="623">
        <f t="shared" si="12"/>
        <v>0.88</v>
      </c>
      <c r="P162" s="140">
        <f t="shared" si="13"/>
        <v>5845.5733600000003</v>
      </c>
    </row>
    <row r="163" spans="1:16" s="382" customFormat="1" ht="29.45" customHeight="1">
      <c r="A163" s="136" t="s">
        <v>1853</v>
      </c>
      <c r="B163" s="135" t="s">
        <v>3688</v>
      </c>
      <c r="C163" s="136" t="s">
        <v>3689</v>
      </c>
      <c r="D163" s="136" t="s">
        <v>1595</v>
      </c>
      <c r="E163" s="136" t="s">
        <v>1571</v>
      </c>
      <c r="F163" s="419">
        <v>43100</v>
      </c>
      <c r="G163" s="140">
        <v>14587</v>
      </c>
      <c r="H163" s="140">
        <v>26</v>
      </c>
      <c r="I163" s="140">
        <v>-724</v>
      </c>
      <c r="J163" s="140">
        <v>4927</v>
      </c>
      <c r="K163" s="140">
        <v>1980</v>
      </c>
      <c r="L163" s="140">
        <v>6833</v>
      </c>
      <c r="M163" s="143"/>
      <c r="N163" s="143"/>
      <c r="O163" s="623" t="e">
        <f t="shared" si="12"/>
        <v>#DIV/0!</v>
      </c>
      <c r="P163" s="140"/>
    </row>
    <row r="164" spans="1:16" s="382" customFormat="1" ht="29.45" customHeight="1">
      <c r="A164" s="138" t="s">
        <v>1855</v>
      </c>
      <c r="B164" s="137" t="s">
        <v>3690</v>
      </c>
      <c r="C164" s="138" t="s">
        <v>3691</v>
      </c>
      <c r="D164" s="138" t="s">
        <v>971</v>
      </c>
      <c r="E164" s="138" t="s">
        <v>1571</v>
      </c>
      <c r="F164" s="420">
        <v>43100</v>
      </c>
      <c r="G164" s="141">
        <v>14402.037</v>
      </c>
      <c r="H164" s="141">
        <v>48</v>
      </c>
      <c r="I164" s="141">
        <v>-154.91499999999999</v>
      </c>
      <c r="J164" s="141">
        <v>-1115.432</v>
      </c>
      <c r="K164" s="141">
        <v>2501.0259999999998</v>
      </c>
      <c r="L164" s="141">
        <v>4500.9130000000005</v>
      </c>
      <c r="M164" s="142"/>
      <c r="N164" s="142"/>
      <c r="O164" s="623" t="e">
        <f t="shared" si="12"/>
        <v>#DIV/0!</v>
      </c>
      <c r="P164" s="140"/>
    </row>
    <row r="165" spans="1:16" s="382" customFormat="1" ht="29.45" customHeight="1">
      <c r="A165" s="136" t="s">
        <v>1857</v>
      </c>
      <c r="B165" s="135" t="s">
        <v>3692</v>
      </c>
      <c r="C165" s="136" t="s">
        <v>3693</v>
      </c>
      <c r="D165" s="136" t="s">
        <v>1266</v>
      </c>
      <c r="E165" s="136" t="s">
        <v>1571</v>
      </c>
      <c r="F165" s="419">
        <v>43100</v>
      </c>
      <c r="G165" s="140">
        <v>14399.883</v>
      </c>
      <c r="H165" s="140">
        <v>4</v>
      </c>
      <c r="I165" s="140">
        <v>395.49299999999999</v>
      </c>
      <c r="J165" s="140">
        <v>1968.395</v>
      </c>
      <c r="K165" s="140">
        <v>113.99900000000001</v>
      </c>
      <c r="L165" s="140">
        <v>2486.252</v>
      </c>
      <c r="M165" s="143"/>
      <c r="N165" s="143"/>
      <c r="O165" s="623" t="e">
        <f t="shared" si="12"/>
        <v>#DIV/0!</v>
      </c>
      <c r="P165" s="140"/>
    </row>
    <row r="166" spans="1:16" s="382" customFormat="1" ht="17.100000000000001" customHeight="1">
      <c r="A166" s="138" t="s">
        <v>1859</v>
      </c>
      <c r="B166" s="137" t="s">
        <v>3694</v>
      </c>
      <c r="C166" s="138" t="s">
        <v>3695</v>
      </c>
      <c r="D166" s="138" t="s">
        <v>1145</v>
      </c>
      <c r="E166" s="138" t="s">
        <v>1571</v>
      </c>
      <c r="F166" s="420">
        <v>42735</v>
      </c>
      <c r="G166" s="141">
        <v>14195.639628999999</v>
      </c>
      <c r="H166" s="141">
        <v>30</v>
      </c>
      <c r="I166" s="141">
        <v>841.58009000000004</v>
      </c>
      <c r="J166" s="141">
        <v>1973.3625100000002</v>
      </c>
      <c r="K166" s="141">
        <v>1716.0529199999999</v>
      </c>
      <c r="L166" s="141">
        <v>5261.4206189999995</v>
      </c>
      <c r="M166" s="142"/>
      <c r="N166" s="142"/>
      <c r="O166" s="623" t="e">
        <f t="shared" si="12"/>
        <v>#DIV/0!</v>
      </c>
      <c r="P166" s="140"/>
    </row>
    <row r="167" spans="1:16" s="382" customFormat="1" ht="29.45" customHeight="1">
      <c r="A167" s="136" t="s">
        <v>1861</v>
      </c>
      <c r="B167" s="135" t="s">
        <v>3696</v>
      </c>
      <c r="C167" s="136" t="s">
        <v>3697</v>
      </c>
      <c r="D167" s="136" t="s">
        <v>1622</v>
      </c>
      <c r="E167" s="136" t="s">
        <v>1571</v>
      </c>
      <c r="F167" s="419">
        <v>43100</v>
      </c>
      <c r="G167" s="140">
        <v>14088</v>
      </c>
      <c r="H167" s="140">
        <v>107</v>
      </c>
      <c r="I167" s="140">
        <v>-1009</v>
      </c>
      <c r="J167" s="140">
        <v>-7714</v>
      </c>
      <c r="K167" s="140">
        <v>8778</v>
      </c>
      <c r="L167" s="140">
        <v>1568</v>
      </c>
      <c r="M167" s="140">
        <v>25</v>
      </c>
      <c r="N167" s="140">
        <v>75</v>
      </c>
      <c r="O167" s="623">
        <f t="shared" si="12"/>
        <v>0.25</v>
      </c>
      <c r="P167" s="140">
        <f>O167*K167</f>
        <v>2194.5</v>
      </c>
    </row>
    <row r="168" spans="1:16" s="382" customFormat="1" ht="29.45" customHeight="1">
      <c r="A168" s="138" t="s">
        <v>1863</v>
      </c>
      <c r="B168" s="139" t="s">
        <v>1846</v>
      </c>
      <c r="C168" s="138" t="s">
        <v>1226</v>
      </c>
      <c r="D168" s="138" t="s">
        <v>1227</v>
      </c>
      <c r="E168" s="138" t="s">
        <v>1571</v>
      </c>
      <c r="F168" s="420">
        <v>39813</v>
      </c>
      <c r="G168" s="141">
        <v>13154.38003</v>
      </c>
      <c r="H168" s="141">
        <v>33</v>
      </c>
      <c r="I168" s="141">
        <v>874.50900999999999</v>
      </c>
      <c r="J168" s="141">
        <v>2511.7970800000003</v>
      </c>
      <c r="K168" s="141">
        <v>1111.44551</v>
      </c>
      <c r="L168" s="141">
        <v>4958.4844599999997</v>
      </c>
      <c r="M168" s="142"/>
      <c r="N168" s="142"/>
      <c r="O168" s="623" t="e">
        <f t="shared" si="12"/>
        <v>#DIV/0!</v>
      </c>
      <c r="P168" s="140"/>
    </row>
    <row r="169" spans="1:16" s="382" customFormat="1" ht="29.45" customHeight="1">
      <c r="A169" s="136" t="s">
        <v>1865</v>
      </c>
      <c r="B169" s="135" t="s">
        <v>1848</v>
      </c>
      <c r="C169" s="136" t="s">
        <v>1432</v>
      </c>
      <c r="D169" s="136" t="s">
        <v>1429</v>
      </c>
      <c r="E169" s="136" t="s">
        <v>1571</v>
      </c>
      <c r="F169" s="419">
        <v>43100</v>
      </c>
      <c r="G169" s="140">
        <v>13098</v>
      </c>
      <c r="H169" s="140">
        <v>69</v>
      </c>
      <c r="I169" s="143" t="s">
        <v>189</v>
      </c>
      <c r="J169" s="140">
        <v>-22823</v>
      </c>
      <c r="K169" s="140">
        <v>4127</v>
      </c>
      <c r="L169" s="140">
        <v>925</v>
      </c>
      <c r="M169" s="140">
        <v>34</v>
      </c>
      <c r="N169" s="140">
        <v>35</v>
      </c>
      <c r="O169" s="623">
        <f t="shared" si="12"/>
        <v>0.49275362318840582</v>
      </c>
      <c r="P169" s="140">
        <f>O169*K169</f>
        <v>2033.5942028985507</v>
      </c>
    </row>
    <row r="170" spans="1:16" s="382" customFormat="1" ht="17.100000000000001" customHeight="1">
      <c r="A170" s="138" t="s">
        <v>1867</v>
      </c>
      <c r="B170" s="137" t="s">
        <v>3698</v>
      </c>
      <c r="C170" s="138" t="s">
        <v>3699</v>
      </c>
      <c r="D170" s="138" t="s">
        <v>811</v>
      </c>
      <c r="E170" s="138" t="s">
        <v>1571</v>
      </c>
      <c r="F170" s="420">
        <v>43100</v>
      </c>
      <c r="G170" s="141">
        <v>12994.304209</v>
      </c>
      <c r="H170" s="141">
        <v>17</v>
      </c>
      <c r="I170" s="141">
        <v>153.11574999999999</v>
      </c>
      <c r="J170" s="141">
        <v>478.89529000000005</v>
      </c>
      <c r="K170" s="141">
        <v>963.83268999999996</v>
      </c>
      <c r="L170" s="141">
        <v>1622.3360590000002</v>
      </c>
      <c r="M170" s="141">
        <v>11</v>
      </c>
      <c r="N170" s="141">
        <v>6</v>
      </c>
      <c r="O170" s="623">
        <f t="shared" si="12"/>
        <v>0.6470588235294118</v>
      </c>
      <c r="P170" s="140">
        <f>O170*K170</f>
        <v>623.65644647058821</v>
      </c>
    </row>
    <row r="171" spans="1:16" s="382" customFormat="1" ht="29.45" customHeight="1">
      <c r="A171" s="136" t="s">
        <v>1869</v>
      </c>
      <c r="B171" s="135" t="s">
        <v>3700</v>
      </c>
      <c r="C171" s="136" t="s">
        <v>3701</v>
      </c>
      <c r="D171" s="136" t="s">
        <v>969</v>
      </c>
      <c r="E171" s="136" t="s">
        <v>1571</v>
      </c>
      <c r="F171" s="419">
        <v>43100</v>
      </c>
      <c r="G171" s="140">
        <v>12692.761</v>
      </c>
      <c r="H171" s="140">
        <v>136</v>
      </c>
      <c r="I171" s="140">
        <v>-41.338000000000001</v>
      </c>
      <c r="J171" s="140">
        <v>-355.38400000000001</v>
      </c>
      <c r="K171" s="140">
        <v>5121.92</v>
      </c>
      <c r="L171" s="140">
        <v>5023.0060000000003</v>
      </c>
      <c r="M171" s="140">
        <v>20</v>
      </c>
      <c r="N171" s="140">
        <v>135</v>
      </c>
      <c r="O171" s="623">
        <f t="shared" si="12"/>
        <v>0.12903225806451613</v>
      </c>
      <c r="P171" s="140">
        <f>O171*K171</f>
        <v>660.89290322580644</v>
      </c>
    </row>
    <row r="172" spans="1:16" s="382" customFormat="1" ht="17.100000000000001" customHeight="1">
      <c r="A172" s="138" t="s">
        <v>1871</v>
      </c>
      <c r="B172" s="139" t="s">
        <v>3702</v>
      </c>
      <c r="C172" s="138" t="s">
        <v>3703</v>
      </c>
      <c r="D172" s="138" t="s">
        <v>1135</v>
      </c>
      <c r="E172" s="138" t="s">
        <v>1571</v>
      </c>
      <c r="F172" s="420">
        <v>38717</v>
      </c>
      <c r="G172" s="141">
        <v>12517.384970000001</v>
      </c>
      <c r="H172" s="141">
        <v>31</v>
      </c>
      <c r="I172" s="141">
        <v>243.04834</v>
      </c>
      <c r="J172" s="141">
        <v>569.95672000000002</v>
      </c>
      <c r="K172" s="141">
        <v>1082.5835</v>
      </c>
      <c r="L172" s="141">
        <v>2305.9451000000004</v>
      </c>
      <c r="M172" s="142"/>
      <c r="N172" s="142"/>
      <c r="O172" s="623" t="e">
        <f t="shared" si="12"/>
        <v>#DIV/0!</v>
      </c>
      <c r="P172" s="140"/>
    </row>
    <row r="173" spans="1:16" s="382" customFormat="1" ht="29.45" customHeight="1">
      <c r="A173" s="136" t="s">
        <v>1873</v>
      </c>
      <c r="B173" s="135" t="s">
        <v>3704</v>
      </c>
      <c r="C173" s="136" t="s">
        <v>3705</v>
      </c>
      <c r="D173" s="136" t="s">
        <v>1266</v>
      </c>
      <c r="E173" s="136" t="s">
        <v>1571</v>
      </c>
      <c r="F173" s="419">
        <v>43100</v>
      </c>
      <c r="G173" s="140">
        <v>12191.432638999999</v>
      </c>
      <c r="H173" s="140">
        <v>41</v>
      </c>
      <c r="I173" s="140">
        <v>495.59174999999999</v>
      </c>
      <c r="J173" s="140">
        <v>1705.6672800000001</v>
      </c>
      <c r="K173" s="140">
        <v>1664.8061200000002</v>
      </c>
      <c r="L173" s="140">
        <v>4294.2595300000003</v>
      </c>
      <c r="M173" s="140">
        <v>9</v>
      </c>
      <c r="N173" s="140">
        <v>33.5</v>
      </c>
      <c r="O173" s="623">
        <f t="shared" si="12"/>
        <v>0.21176470588235294</v>
      </c>
      <c r="P173" s="140">
        <f>O173*K173</f>
        <v>352.54717835294122</v>
      </c>
    </row>
    <row r="174" spans="1:16" s="382" customFormat="1" ht="29.45" customHeight="1">
      <c r="A174" s="138" t="s">
        <v>1875</v>
      </c>
      <c r="B174" s="137" t="s">
        <v>3706</v>
      </c>
      <c r="C174" s="138" t="s">
        <v>3707</v>
      </c>
      <c r="D174" s="138" t="s">
        <v>596</v>
      </c>
      <c r="E174" s="138" t="s">
        <v>1571</v>
      </c>
      <c r="F174" s="420">
        <v>43100</v>
      </c>
      <c r="G174" s="141">
        <v>11840</v>
      </c>
      <c r="H174" s="141">
        <v>83</v>
      </c>
      <c r="I174" s="141">
        <v>-59</v>
      </c>
      <c r="J174" s="141">
        <v>573</v>
      </c>
      <c r="K174" s="141">
        <v>4186</v>
      </c>
      <c r="L174" s="141">
        <v>5764</v>
      </c>
      <c r="M174" s="141">
        <v>39</v>
      </c>
      <c r="N174" s="141">
        <v>44</v>
      </c>
      <c r="O174" s="623">
        <f t="shared" si="12"/>
        <v>0.46987951807228917</v>
      </c>
      <c r="P174" s="140">
        <f>O174*K174</f>
        <v>1966.9156626506024</v>
      </c>
    </row>
    <row r="175" spans="1:16" s="382" customFormat="1" ht="17.100000000000001" customHeight="1">
      <c r="A175" s="136" t="s">
        <v>1877</v>
      </c>
      <c r="B175" s="135" t="s">
        <v>3708</v>
      </c>
      <c r="C175" s="136" t="s">
        <v>3709</v>
      </c>
      <c r="D175" s="136" t="s">
        <v>1197</v>
      </c>
      <c r="E175" s="136" t="s">
        <v>1571</v>
      </c>
      <c r="F175" s="419">
        <v>43100</v>
      </c>
      <c r="G175" s="140">
        <v>11451.017229999999</v>
      </c>
      <c r="H175" s="140">
        <v>45</v>
      </c>
      <c r="I175" s="143" t="s">
        <v>189</v>
      </c>
      <c r="J175" s="140">
        <v>14.018799999999999</v>
      </c>
      <c r="K175" s="140">
        <v>1928.7886500000002</v>
      </c>
      <c r="L175" s="140">
        <v>2333.1554289999999</v>
      </c>
      <c r="M175" s="140">
        <v>6</v>
      </c>
      <c r="N175" s="140">
        <v>39</v>
      </c>
      <c r="O175" s="623">
        <f t="shared" si="12"/>
        <v>0.13333333333333333</v>
      </c>
      <c r="P175" s="140">
        <f>O175*K175</f>
        <v>257.17182000000003</v>
      </c>
    </row>
    <row r="176" spans="1:16" s="382" customFormat="1" ht="29.45" customHeight="1">
      <c r="A176" s="138" t="s">
        <v>1879</v>
      </c>
      <c r="B176" s="137" t="s">
        <v>3710</v>
      </c>
      <c r="C176" s="138" t="s">
        <v>3711</v>
      </c>
      <c r="D176" s="138" t="s">
        <v>1184</v>
      </c>
      <c r="E176" s="138" t="s">
        <v>1571</v>
      </c>
      <c r="F176" s="420">
        <v>42735</v>
      </c>
      <c r="G176" s="141">
        <v>11260.30191</v>
      </c>
      <c r="H176" s="142" t="s">
        <v>189</v>
      </c>
      <c r="I176" s="142" t="s">
        <v>189</v>
      </c>
      <c r="J176" s="141">
        <v>172.07539</v>
      </c>
      <c r="K176" s="142" t="s">
        <v>189</v>
      </c>
      <c r="L176" s="141">
        <v>588.30115000000001</v>
      </c>
      <c r="M176" s="142"/>
      <c r="N176" s="142"/>
      <c r="O176" s="623" t="e">
        <f t="shared" si="12"/>
        <v>#DIV/0!</v>
      </c>
      <c r="P176" s="140"/>
    </row>
    <row r="177" spans="1:16" s="382" customFormat="1" ht="17.100000000000001" customHeight="1">
      <c r="A177" s="136" t="s">
        <v>1881</v>
      </c>
      <c r="B177" s="135" t="s">
        <v>1878</v>
      </c>
      <c r="C177" s="136" t="s">
        <v>792</v>
      </c>
      <c r="D177" s="136" t="s">
        <v>789</v>
      </c>
      <c r="E177" s="136" t="s">
        <v>1571</v>
      </c>
      <c r="F177" s="419">
        <v>42735</v>
      </c>
      <c r="G177" s="140">
        <v>11118.125</v>
      </c>
      <c r="H177" s="140">
        <v>28</v>
      </c>
      <c r="I177" s="140">
        <v>90.582000000000008</v>
      </c>
      <c r="J177" s="140">
        <v>968.93000000000006</v>
      </c>
      <c r="K177" s="140">
        <v>995.11</v>
      </c>
      <c r="L177" s="140">
        <v>2317.4189999999999</v>
      </c>
      <c r="M177" s="140">
        <v>6</v>
      </c>
      <c r="N177" s="140">
        <v>22</v>
      </c>
      <c r="O177" s="623">
        <f t="shared" si="12"/>
        <v>0.21428571428571427</v>
      </c>
      <c r="P177" s="140">
        <f>O177*K177</f>
        <v>213.23785714285714</v>
      </c>
    </row>
    <row r="178" spans="1:16" s="382" customFormat="1" ht="17.100000000000001" customHeight="1">
      <c r="A178" s="138" t="s">
        <v>1883</v>
      </c>
      <c r="B178" s="137" t="s">
        <v>3712</v>
      </c>
      <c r="C178" s="138" t="s">
        <v>3713</v>
      </c>
      <c r="D178" s="138" t="s">
        <v>969</v>
      </c>
      <c r="E178" s="138" t="s">
        <v>1571</v>
      </c>
      <c r="F178" s="420">
        <v>42643</v>
      </c>
      <c r="G178" s="141">
        <v>10633.20451</v>
      </c>
      <c r="H178" s="141">
        <v>44</v>
      </c>
      <c r="I178" s="141">
        <v>22.655139999999999</v>
      </c>
      <c r="J178" s="141">
        <v>-2448.6660000000002</v>
      </c>
      <c r="K178" s="141">
        <v>1857.36681</v>
      </c>
      <c r="L178" s="141">
        <v>-65.040959000000001</v>
      </c>
      <c r="M178" s="142"/>
      <c r="N178" s="142"/>
      <c r="O178" s="623" t="e">
        <f t="shared" si="12"/>
        <v>#DIV/0!</v>
      </c>
      <c r="P178" s="140"/>
    </row>
    <row r="179" spans="1:16" s="382" customFormat="1" ht="29.45" customHeight="1">
      <c r="A179" s="136" t="s">
        <v>1885</v>
      </c>
      <c r="B179" s="135" t="s">
        <v>1884</v>
      </c>
      <c r="C179" s="136" t="s">
        <v>1264</v>
      </c>
      <c r="D179" s="136" t="s">
        <v>1266</v>
      </c>
      <c r="E179" s="136" t="s">
        <v>1571</v>
      </c>
      <c r="F179" s="419">
        <v>43100</v>
      </c>
      <c r="G179" s="140">
        <v>10537.48914</v>
      </c>
      <c r="H179" s="140">
        <v>25</v>
      </c>
      <c r="I179" s="140">
        <v>80.464330000000004</v>
      </c>
      <c r="J179" s="140">
        <v>53.060950000000005</v>
      </c>
      <c r="K179" s="140">
        <v>995.27716999999996</v>
      </c>
      <c r="L179" s="140">
        <v>1441.3590200000001</v>
      </c>
      <c r="M179" s="140">
        <v>7</v>
      </c>
      <c r="N179" s="140">
        <v>19</v>
      </c>
      <c r="O179" s="623">
        <f t="shared" si="12"/>
        <v>0.26923076923076922</v>
      </c>
      <c r="P179" s="140">
        <f>O179*K179</f>
        <v>267.95923807692304</v>
      </c>
    </row>
    <row r="180" spans="1:16" s="382" customFormat="1" ht="29.45" customHeight="1">
      <c r="A180" s="138" t="s">
        <v>1887</v>
      </c>
      <c r="B180" s="137" t="s">
        <v>3714</v>
      </c>
      <c r="C180" s="138" t="s">
        <v>3715</v>
      </c>
      <c r="D180" s="138" t="s">
        <v>811</v>
      </c>
      <c r="E180" s="138" t="s">
        <v>1571</v>
      </c>
      <c r="F180" s="420">
        <v>43100</v>
      </c>
      <c r="G180" s="141">
        <v>10378.61701</v>
      </c>
      <c r="H180" s="141">
        <v>31</v>
      </c>
      <c r="I180" s="141">
        <v>196.50120000000001</v>
      </c>
      <c r="J180" s="141">
        <v>525.84128999999996</v>
      </c>
      <c r="K180" s="141">
        <v>7117.5665599999993</v>
      </c>
      <c r="L180" s="141">
        <v>7883.6305499999999</v>
      </c>
      <c r="M180" s="141">
        <v>33</v>
      </c>
      <c r="N180" s="141">
        <v>2</v>
      </c>
      <c r="O180" s="623">
        <f t="shared" si="12"/>
        <v>0.94285714285714284</v>
      </c>
      <c r="P180" s="140">
        <f>O180*K180</f>
        <v>6710.8484708571423</v>
      </c>
    </row>
    <row r="181" spans="1:16" s="382" customFormat="1" ht="29.45" customHeight="1">
      <c r="A181" s="136" t="s">
        <v>1889</v>
      </c>
      <c r="B181" s="135" t="s">
        <v>3716</v>
      </c>
      <c r="C181" s="136" t="s">
        <v>3717</v>
      </c>
      <c r="D181" s="136" t="s">
        <v>1184</v>
      </c>
      <c r="E181" s="136" t="s">
        <v>1571</v>
      </c>
      <c r="F181" s="419">
        <v>43100</v>
      </c>
      <c r="G181" s="140">
        <v>10297.041000000001</v>
      </c>
      <c r="H181" s="140">
        <v>87</v>
      </c>
      <c r="I181" s="140">
        <v>30.769000000000002</v>
      </c>
      <c r="J181" s="140">
        <v>65.201999999999998</v>
      </c>
      <c r="K181" s="140">
        <v>3802.9560000000001</v>
      </c>
      <c r="L181" s="140">
        <v>4445.5860000000002</v>
      </c>
      <c r="M181" s="140">
        <v>17</v>
      </c>
      <c r="N181" s="140">
        <v>69</v>
      </c>
      <c r="O181" s="623">
        <f t="shared" si="12"/>
        <v>0.19767441860465115</v>
      </c>
      <c r="P181" s="140">
        <f>O181*K181</f>
        <v>751.7471162790697</v>
      </c>
    </row>
    <row r="182" spans="1:16" s="382" customFormat="1" ht="43.15" customHeight="1">
      <c r="A182" s="138" t="s">
        <v>1891</v>
      </c>
      <c r="B182" s="137" t="s">
        <v>1890</v>
      </c>
      <c r="C182" s="138" t="s">
        <v>1269</v>
      </c>
      <c r="D182" s="138" t="s">
        <v>1797</v>
      </c>
      <c r="E182" s="138" t="s">
        <v>1571</v>
      </c>
      <c r="F182" s="420">
        <v>43100</v>
      </c>
      <c r="G182" s="141">
        <v>10221</v>
      </c>
      <c r="H182" s="141">
        <v>91</v>
      </c>
      <c r="I182" s="141">
        <v>456</v>
      </c>
      <c r="J182" s="141">
        <v>1173</v>
      </c>
      <c r="K182" s="141">
        <v>4482</v>
      </c>
      <c r="L182" s="141">
        <v>6368</v>
      </c>
      <c r="M182" s="141">
        <v>18</v>
      </c>
      <c r="N182" s="141">
        <v>73</v>
      </c>
      <c r="O182" s="623">
        <f t="shared" si="12"/>
        <v>0.19780219780219779</v>
      </c>
      <c r="P182" s="140">
        <f>O182*K182</f>
        <v>886.54945054945051</v>
      </c>
    </row>
    <row r="183" spans="1:16" s="382" customFormat="1" ht="43.15" customHeight="1">
      <c r="A183" s="136" t="s">
        <v>1893</v>
      </c>
      <c r="B183" s="421" t="s">
        <v>3718</v>
      </c>
      <c r="C183" s="136" t="s">
        <v>3719</v>
      </c>
      <c r="D183" s="136" t="s">
        <v>975</v>
      </c>
      <c r="E183" s="136" t="s">
        <v>1571</v>
      </c>
      <c r="F183" s="419">
        <v>41639</v>
      </c>
      <c r="G183" s="140">
        <v>9911</v>
      </c>
      <c r="H183" s="140">
        <v>66</v>
      </c>
      <c r="I183" s="140">
        <v>2211</v>
      </c>
      <c r="J183" s="140">
        <v>-3281</v>
      </c>
      <c r="K183" s="140">
        <v>2625</v>
      </c>
      <c r="L183" s="140">
        <v>2379</v>
      </c>
      <c r="M183" s="140">
        <v>7</v>
      </c>
      <c r="N183" s="140">
        <v>54</v>
      </c>
      <c r="O183" s="623">
        <f t="shared" si="12"/>
        <v>0.11475409836065574</v>
      </c>
      <c r="P183" s="140">
        <f>O183*K183</f>
        <v>301.22950819672133</v>
      </c>
    </row>
    <row r="184" spans="1:16" s="382" customFormat="1" ht="29.45" customHeight="1">
      <c r="A184" s="138" t="s">
        <v>1895</v>
      </c>
      <c r="B184" s="137" t="s">
        <v>3720</v>
      </c>
      <c r="C184" s="138" t="s">
        <v>3721</v>
      </c>
      <c r="D184" s="138" t="s">
        <v>1279</v>
      </c>
      <c r="E184" s="138" t="s">
        <v>1571</v>
      </c>
      <c r="F184" s="420">
        <v>37621</v>
      </c>
      <c r="G184" s="141">
        <v>9840.60203</v>
      </c>
      <c r="H184" s="141">
        <v>29</v>
      </c>
      <c r="I184" s="141">
        <v>130.40412000000001</v>
      </c>
      <c r="J184" s="141">
        <v>339.55339000000004</v>
      </c>
      <c r="K184" s="141">
        <v>878.12696000000005</v>
      </c>
      <c r="L184" s="141">
        <v>1739.0435600000001</v>
      </c>
      <c r="M184" s="142"/>
      <c r="N184" s="142"/>
      <c r="O184" s="623" t="e">
        <f t="shared" si="12"/>
        <v>#DIV/0!</v>
      </c>
      <c r="P184" s="140"/>
    </row>
    <row r="185" spans="1:16" s="382" customFormat="1" ht="29.45" customHeight="1">
      <c r="A185" s="136" t="s">
        <v>1897</v>
      </c>
      <c r="B185" s="135" t="s">
        <v>3722</v>
      </c>
      <c r="C185" s="136" t="s">
        <v>3723</v>
      </c>
      <c r="D185" s="136" t="s">
        <v>3724</v>
      </c>
      <c r="E185" s="136" t="s">
        <v>1571</v>
      </c>
      <c r="F185" s="419">
        <v>42735</v>
      </c>
      <c r="G185" s="140">
        <v>9772.0540000000001</v>
      </c>
      <c r="H185" s="140">
        <v>36</v>
      </c>
      <c r="I185" s="143" t="s">
        <v>189</v>
      </c>
      <c r="J185" s="143" t="s">
        <v>189</v>
      </c>
      <c r="K185" s="140">
        <v>1691.9280000000001</v>
      </c>
      <c r="L185" s="140">
        <v>2226.8679999999999</v>
      </c>
      <c r="M185" s="140">
        <v>12</v>
      </c>
      <c r="N185" s="140">
        <v>15</v>
      </c>
      <c r="O185" s="623">
        <f t="shared" si="12"/>
        <v>0.44444444444444442</v>
      </c>
      <c r="P185" s="140">
        <f>O185*K185</f>
        <v>751.96799999999996</v>
      </c>
    </row>
    <row r="186" spans="1:16" s="382" customFormat="1" ht="43.15" customHeight="1">
      <c r="A186" s="138" t="s">
        <v>1899</v>
      </c>
      <c r="B186" s="137" t="s">
        <v>3725</v>
      </c>
      <c r="C186" s="138" t="s">
        <v>3726</v>
      </c>
      <c r="D186" s="138" t="s">
        <v>969</v>
      </c>
      <c r="E186" s="138" t="s">
        <v>1571</v>
      </c>
      <c r="F186" s="420">
        <v>42825</v>
      </c>
      <c r="G186" s="141">
        <v>9654</v>
      </c>
      <c r="H186" s="141">
        <v>25</v>
      </c>
      <c r="I186" s="141">
        <v>-734</v>
      </c>
      <c r="J186" s="141">
        <v>-591</v>
      </c>
      <c r="K186" s="141">
        <v>1897</v>
      </c>
      <c r="L186" s="141">
        <v>5572</v>
      </c>
      <c r="M186" s="142"/>
      <c r="N186" s="142"/>
      <c r="O186" s="623" t="e">
        <f t="shared" si="12"/>
        <v>#DIV/0!</v>
      </c>
      <c r="P186" s="140"/>
    </row>
    <row r="187" spans="1:16" s="382" customFormat="1" ht="17.100000000000001" customHeight="1">
      <c r="A187" s="136" t="s">
        <v>1901</v>
      </c>
      <c r="B187" s="135" t="s">
        <v>3727</v>
      </c>
      <c r="C187" s="136" t="s">
        <v>3728</v>
      </c>
      <c r="D187" s="136" t="s">
        <v>641</v>
      </c>
      <c r="E187" s="136" t="s">
        <v>1571</v>
      </c>
      <c r="F187" s="419">
        <v>43100</v>
      </c>
      <c r="G187" s="140">
        <v>9517</v>
      </c>
      <c r="H187" s="140">
        <v>18</v>
      </c>
      <c r="I187" s="143" t="s">
        <v>189</v>
      </c>
      <c r="J187" s="140">
        <v>-7489</v>
      </c>
      <c r="K187" s="140">
        <v>1121</v>
      </c>
      <c r="L187" s="140">
        <v>3748</v>
      </c>
      <c r="M187" s="140">
        <v>4</v>
      </c>
      <c r="N187" s="140">
        <v>15</v>
      </c>
      <c r="O187" s="623">
        <f t="shared" si="12"/>
        <v>0.21052631578947367</v>
      </c>
      <c r="P187" s="140">
        <f t="shared" ref="P187:P192" si="14">O187*K187</f>
        <v>236</v>
      </c>
    </row>
    <row r="188" spans="1:16" s="382" customFormat="1" ht="17.100000000000001" customHeight="1">
      <c r="A188" s="138" t="s">
        <v>1903</v>
      </c>
      <c r="B188" s="137" t="s">
        <v>3729</v>
      </c>
      <c r="C188" s="138" t="s">
        <v>3730</v>
      </c>
      <c r="D188" s="138" t="s">
        <v>188</v>
      </c>
      <c r="E188" s="138" t="s">
        <v>1571</v>
      </c>
      <c r="F188" s="420">
        <v>42735</v>
      </c>
      <c r="G188" s="141">
        <v>9466.4398190000011</v>
      </c>
      <c r="H188" s="141">
        <v>216</v>
      </c>
      <c r="I188" s="142" t="s">
        <v>189</v>
      </c>
      <c r="J188" s="141">
        <v>-51.24774</v>
      </c>
      <c r="K188" s="141">
        <v>6930.5585999999994</v>
      </c>
      <c r="L188" s="141">
        <v>7001.9890589999995</v>
      </c>
      <c r="M188" s="141">
        <v>197</v>
      </c>
      <c r="N188" s="141">
        <v>91</v>
      </c>
      <c r="O188" s="623">
        <f t="shared" si="12"/>
        <v>0.68402777777777779</v>
      </c>
      <c r="P188" s="140">
        <f t="shared" si="14"/>
        <v>4740.6945979166667</v>
      </c>
    </row>
    <row r="189" spans="1:16" s="382" customFormat="1" ht="29.45" customHeight="1">
      <c r="A189" s="136" t="s">
        <v>1905</v>
      </c>
      <c r="B189" s="135" t="s">
        <v>3731</v>
      </c>
      <c r="C189" s="136" t="s">
        <v>3732</v>
      </c>
      <c r="D189" s="136" t="s">
        <v>596</v>
      </c>
      <c r="E189" s="136" t="s">
        <v>1571</v>
      </c>
      <c r="F189" s="419">
        <v>43100</v>
      </c>
      <c r="G189" s="140">
        <v>9387.1423600000016</v>
      </c>
      <c r="H189" s="140">
        <v>42</v>
      </c>
      <c r="I189" s="140">
        <v>123.80601</v>
      </c>
      <c r="J189" s="140">
        <v>677.01859999999999</v>
      </c>
      <c r="K189" s="140">
        <v>1702.9151300000001</v>
      </c>
      <c r="L189" s="140">
        <v>2705.8260290000003</v>
      </c>
      <c r="M189" s="140">
        <v>20</v>
      </c>
      <c r="N189" s="140">
        <v>27</v>
      </c>
      <c r="O189" s="623">
        <f t="shared" si="12"/>
        <v>0.42553191489361702</v>
      </c>
      <c r="P189" s="140">
        <f t="shared" si="14"/>
        <v>724.64473617021281</v>
      </c>
    </row>
    <row r="190" spans="1:16" s="382" customFormat="1" ht="17.100000000000001" customHeight="1">
      <c r="A190" s="138" t="s">
        <v>1907</v>
      </c>
      <c r="B190" s="137" t="s">
        <v>3733</v>
      </c>
      <c r="C190" s="138" t="s">
        <v>3734</v>
      </c>
      <c r="D190" s="138" t="s">
        <v>969</v>
      </c>
      <c r="E190" s="138" t="s">
        <v>1571</v>
      </c>
      <c r="F190" s="420">
        <v>43100</v>
      </c>
      <c r="G190" s="141">
        <v>9285.9559000000008</v>
      </c>
      <c r="H190" s="141">
        <v>56</v>
      </c>
      <c r="I190" s="141">
        <v>163.75334000000001</v>
      </c>
      <c r="J190" s="141">
        <v>473.81073000000004</v>
      </c>
      <c r="K190" s="141">
        <v>2169.0897000000004</v>
      </c>
      <c r="L190" s="141">
        <v>3082.9341400000003</v>
      </c>
      <c r="M190" s="141">
        <v>12</v>
      </c>
      <c r="N190" s="141">
        <v>44</v>
      </c>
      <c r="O190" s="623">
        <f t="shared" si="12"/>
        <v>0.21428571428571427</v>
      </c>
      <c r="P190" s="140">
        <f t="shared" si="14"/>
        <v>464.80493571428576</v>
      </c>
    </row>
    <row r="191" spans="1:16" s="382" customFormat="1" ht="43.15" customHeight="1">
      <c r="A191" s="136" t="s">
        <v>1909</v>
      </c>
      <c r="B191" s="135" t="s">
        <v>3735</v>
      </c>
      <c r="C191" s="136" t="s">
        <v>3736</v>
      </c>
      <c r="D191" s="136" t="s">
        <v>1266</v>
      </c>
      <c r="E191" s="136" t="s">
        <v>1571</v>
      </c>
      <c r="F191" s="419">
        <v>43100</v>
      </c>
      <c r="G191" s="140">
        <v>9062.6530000000002</v>
      </c>
      <c r="H191" s="140">
        <v>87</v>
      </c>
      <c r="I191" s="140">
        <v>-314.892</v>
      </c>
      <c r="J191" s="140">
        <v>-2197.163</v>
      </c>
      <c r="K191" s="140">
        <v>3628.605</v>
      </c>
      <c r="L191" s="140">
        <v>1657.2350000000001</v>
      </c>
      <c r="M191" s="140">
        <v>16</v>
      </c>
      <c r="N191" s="140">
        <v>70</v>
      </c>
      <c r="O191" s="623">
        <f t="shared" si="12"/>
        <v>0.18604651162790697</v>
      </c>
      <c r="P191" s="140">
        <f t="shared" si="14"/>
        <v>675.08930232558134</v>
      </c>
    </row>
    <row r="192" spans="1:16" s="382" customFormat="1" ht="29.45" customHeight="1">
      <c r="A192" s="138" t="s">
        <v>1911</v>
      </c>
      <c r="B192" s="137" t="s">
        <v>1912</v>
      </c>
      <c r="C192" s="138" t="s">
        <v>1018</v>
      </c>
      <c r="D192" s="138" t="s">
        <v>1013</v>
      </c>
      <c r="E192" s="138" t="s">
        <v>1571</v>
      </c>
      <c r="F192" s="420">
        <v>42735</v>
      </c>
      <c r="G192" s="141">
        <v>8850.6735800000006</v>
      </c>
      <c r="H192" s="141">
        <v>88</v>
      </c>
      <c r="I192" s="141">
        <v>31.043560000000003</v>
      </c>
      <c r="J192" s="141">
        <v>201.85063</v>
      </c>
      <c r="K192" s="141">
        <v>2518.4686099999999</v>
      </c>
      <c r="L192" s="141">
        <v>2841.7742390000003</v>
      </c>
      <c r="M192" s="141">
        <v>26</v>
      </c>
      <c r="N192" s="141">
        <v>65</v>
      </c>
      <c r="O192" s="623">
        <f t="shared" si="12"/>
        <v>0.2857142857142857</v>
      </c>
      <c r="P192" s="140">
        <f t="shared" si="14"/>
        <v>719.56245999999999</v>
      </c>
    </row>
    <row r="193" spans="1:16" s="382" customFormat="1" ht="29.45" customHeight="1">
      <c r="A193" s="136" t="s">
        <v>1913</v>
      </c>
      <c r="B193" s="135" t="s">
        <v>3737</v>
      </c>
      <c r="C193" s="136" t="s">
        <v>3738</v>
      </c>
      <c r="D193" s="136" t="s">
        <v>596</v>
      </c>
      <c r="E193" s="136" t="s">
        <v>1571</v>
      </c>
      <c r="F193" s="419">
        <v>43100</v>
      </c>
      <c r="G193" s="140">
        <v>8773.5959999999995</v>
      </c>
      <c r="H193" s="140">
        <v>40</v>
      </c>
      <c r="I193" s="140">
        <v>73.427000000000007</v>
      </c>
      <c r="J193" s="140">
        <v>207.386</v>
      </c>
      <c r="K193" s="140">
        <v>1513.277</v>
      </c>
      <c r="L193" s="140">
        <v>2207.8679999999999</v>
      </c>
      <c r="M193" s="143"/>
      <c r="N193" s="143"/>
      <c r="O193" s="623" t="e">
        <f t="shared" si="12"/>
        <v>#DIV/0!</v>
      </c>
      <c r="P193" s="140"/>
    </row>
    <row r="194" spans="1:16" s="382" customFormat="1" ht="43.15" customHeight="1">
      <c r="A194" s="138" t="s">
        <v>1915</v>
      </c>
      <c r="B194" s="137" t="s">
        <v>3739</v>
      </c>
      <c r="C194" s="138" t="s">
        <v>3740</v>
      </c>
      <c r="D194" s="138" t="s">
        <v>1168</v>
      </c>
      <c r="E194" s="138" t="s">
        <v>1571</v>
      </c>
      <c r="F194" s="420">
        <v>43100</v>
      </c>
      <c r="G194" s="141">
        <v>8541.1757099999995</v>
      </c>
      <c r="H194" s="141">
        <v>68</v>
      </c>
      <c r="I194" s="141">
        <v>84.25788</v>
      </c>
      <c r="J194" s="141">
        <v>372.15481</v>
      </c>
      <c r="K194" s="141">
        <v>3058.8728799999999</v>
      </c>
      <c r="L194" s="141">
        <v>3900.1643599999998</v>
      </c>
      <c r="M194" s="141">
        <v>4</v>
      </c>
      <c r="N194" s="141">
        <v>61</v>
      </c>
      <c r="O194" s="623">
        <f t="shared" si="12"/>
        <v>6.1538461538461542E-2</v>
      </c>
      <c r="P194" s="140">
        <f t="shared" ref="P194:P200" si="15">O194*K194</f>
        <v>188.23833107692309</v>
      </c>
    </row>
    <row r="195" spans="1:16" s="382" customFormat="1" ht="29.45" customHeight="1">
      <c r="A195" s="136" t="s">
        <v>1917</v>
      </c>
      <c r="B195" s="135" t="s">
        <v>3741</v>
      </c>
      <c r="C195" s="136" t="s">
        <v>3742</v>
      </c>
      <c r="D195" s="136" t="s">
        <v>1203</v>
      </c>
      <c r="E195" s="136" t="s">
        <v>1571</v>
      </c>
      <c r="F195" s="419">
        <v>43100</v>
      </c>
      <c r="G195" s="140">
        <v>8519.2950000000001</v>
      </c>
      <c r="H195" s="140">
        <v>71</v>
      </c>
      <c r="I195" s="140">
        <v>94.433000000000007</v>
      </c>
      <c r="J195" s="140">
        <v>237.322</v>
      </c>
      <c r="K195" s="140">
        <v>4797.7300000000005</v>
      </c>
      <c r="L195" s="140">
        <v>5404.4080000000004</v>
      </c>
      <c r="M195" s="140">
        <v>14</v>
      </c>
      <c r="N195" s="140">
        <v>60</v>
      </c>
      <c r="O195" s="623">
        <f t="shared" si="12"/>
        <v>0.1891891891891892</v>
      </c>
      <c r="P195" s="140">
        <f t="shared" si="15"/>
        <v>907.67864864864873</v>
      </c>
    </row>
    <row r="196" spans="1:16" s="382" customFormat="1" ht="29.45" customHeight="1">
      <c r="A196" s="138" t="s">
        <v>1919</v>
      </c>
      <c r="B196" s="137" t="s">
        <v>3743</v>
      </c>
      <c r="C196" s="138" t="s">
        <v>3744</v>
      </c>
      <c r="D196" s="138" t="s">
        <v>596</v>
      </c>
      <c r="E196" s="138" t="s">
        <v>1571</v>
      </c>
      <c r="F196" s="420">
        <v>43100</v>
      </c>
      <c r="G196" s="141">
        <v>8457</v>
      </c>
      <c r="H196" s="141">
        <v>72</v>
      </c>
      <c r="I196" s="141">
        <v>155</v>
      </c>
      <c r="J196" s="141">
        <v>259</v>
      </c>
      <c r="K196" s="141">
        <v>2760</v>
      </c>
      <c r="L196" s="141">
        <v>3675</v>
      </c>
      <c r="M196" s="141">
        <v>3</v>
      </c>
      <c r="N196" s="141">
        <v>71</v>
      </c>
      <c r="O196" s="623">
        <f t="shared" si="12"/>
        <v>4.0540540540540543E-2</v>
      </c>
      <c r="P196" s="140">
        <f t="shared" si="15"/>
        <v>111.8918918918919</v>
      </c>
    </row>
    <row r="197" spans="1:16" s="382" customFormat="1" ht="17.100000000000001" customHeight="1">
      <c r="A197" s="136" t="s">
        <v>1921</v>
      </c>
      <c r="B197" s="135" t="s">
        <v>3745</v>
      </c>
      <c r="C197" s="136" t="s">
        <v>3746</v>
      </c>
      <c r="D197" s="136" t="s">
        <v>975</v>
      </c>
      <c r="E197" s="136" t="s">
        <v>1571</v>
      </c>
      <c r="F197" s="419">
        <v>43100</v>
      </c>
      <c r="G197" s="140">
        <v>8432.990850000002</v>
      </c>
      <c r="H197" s="140">
        <v>27</v>
      </c>
      <c r="I197" s="140">
        <v>66.304679000000021</v>
      </c>
      <c r="J197" s="140">
        <v>266.54270000000002</v>
      </c>
      <c r="K197" s="140">
        <v>935.50542000000007</v>
      </c>
      <c r="L197" s="140">
        <v>1327.4852390000001</v>
      </c>
      <c r="M197" s="140">
        <v>8</v>
      </c>
      <c r="N197" s="140">
        <v>19</v>
      </c>
      <c r="O197" s="623">
        <f t="shared" si="12"/>
        <v>0.29629629629629628</v>
      </c>
      <c r="P197" s="140">
        <f t="shared" si="15"/>
        <v>277.18679111111112</v>
      </c>
    </row>
    <row r="198" spans="1:16" s="382" customFormat="1" ht="17.100000000000001" customHeight="1">
      <c r="A198" s="138" t="s">
        <v>1923</v>
      </c>
      <c r="B198" s="137" t="s">
        <v>3747</v>
      </c>
      <c r="C198" s="138" t="s">
        <v>3748</v>
      </c>
      <c r="D198" s="138" t="s">
        <v>1564</v>
      </c>
      <c r="E198" s="138" t="s">
        <v>1571</v>
      </c>
      <c r="F198" s="420">
        <v>43100</v>
      </c>
      <c r="G198" s="141">
        <v>8418.5589999999993</v>
      </c>
      <c r="H198" s="141">
        <v>62</v>
      </c>
      <c r="I198" s="141">
        <v>169.34899999999999</v>
      </c>
      <c r="J198" s="141">
        <v>2341.143</v>
      </c>
      <c r="K198" s="141">
        <v>2497.2249999999999</v>
      </c>
      <c r="L198" s="141">
        <v>5583.2920000000004</v>
      </c>
      <c r="M198" s="141">
        <v>7</v>
      </c>
      <c r="N198" s="141">
        <v>58</v>
      </c>
      <c r="O198" s="623">
        <f t="shared" si="12"/>
        <v>0.1076923076923077</v>
      </c>
      <c r="P198" s="140">
        <f t="shared" si="15"/>
        <v>268.93192307692306</v>
      </c>
    </row>
    <row r="199" spans="1:16" s="382" customFormat="1" ht="17.100000000000001" customHeight="1">
      <c r="A199" s="136" t="s">
        <v>1925</v>
      </c>
      <c r="B199" s="135" t="s">
        <v>3749</v>
      </c>
      <c r="C199" s="136" t="s">
        <v>3750</v>
      </c>
      <c r="D199" s="136" t="s">
        <v>1184</v>
      </c>
      <c r="E199" s="136" t="s">
        <v>1571</v>
      </c>
      <c r="F199" s="419">
        <v>43100</v>
      </c>
      <c r="G199" s="140">
        <v>8335.2507500000011</v>
      </c>
      <c r="H199" s="140">
        <v>65</v>
      </c>
      <c r="I199" s="140">
        <v>11.466640000000002</v>
      </c>
      <c r="J199" s="140">
        <v>108.58257</v>
      </c>
      <c r="K199" s="140">
        <v>2228.8242</v>
      </c>
      <c r="L199" s="140">
        <v>2527.2220600000001</v>
      </c>
      <c r="M199" s="140">
        <v>28</v>
      </c>
      <c r="N199" s="140">
        <v>37</v>
      </c>
      <c r="O199" s="623">
        <f t="shared" si="12"/>
        <v>0.43076923076923079</v>
      </c>
      <c r="P199" s="140">
        <f t="shared" si="15"/>
        <v>960.10888615384624</v>
      </c>
    </row>
    <row r="200" spans="1:16" s="382" customFormat="1" ht="29.45" customHeight="1">
      <c r="A200" s="138" t="s">
        <v>1927</v>
      </c>
      <c r="B200" s="137" t="s">
        <v>1922</v>
      </c>
      <c r="C200" s="138" t="s">
        <v>765</v>
      </c>
      <c r="D200" s="138" t="s">
        <v>753</v>
      </c>
      <c r="E200" s="138" t="s">
        <v>1571</v>
      </c>
      <c r="F200" s="420">
        <v>43100</v>
      </c>
      <c r="G200" s="141">
        <v>8296.5376699999997</v>
      </c>
      <c r="H200" s="141">
        <v>58</v>
      </c>
      <c r="I200" s="142" t="s">
        <v>189</v>
      </c>
      <c r="J200" s="141">
        <v>581.6708000000001</v>
      </c>
      <c r="K200" s="141">
        <v>3051.6573499999995</v>
      </c>
      <c r="L200" s="141">
        <v>3729.7264</v>
      </c>
      <c r="M200" s="141">
        <v>7</v>
      </c>
      <c r="N200" s="141">
        <v>51</v>
      </c>
      <c r="O200" s="623">
        <f t="shared" si="12"/>
        <v>0.1206896551724138</v>
      </c>
      <c r="P200" s="140">
        <f t="shared" si="15"/>
        <v>368.30347327586202</v>
      </c>
    </row>
    <row r="201" spans="1:16" s="382" customFormat="1" ht="29.45" customHeight="1">
      <c r="A201" s="136" t="s">
        <v>1929</v>
      </c>
      <c r="B201" s="135" t="s">
        <v>1926</v>
      </c>
      <c r="C201" s="136" t="s">
        <v>920</v>
      </c>
      <c r="D201" s="136" t="s">
        <v>811</v>
      </c>
      <c r="E201" s="136" t="s">
        <v>1571</v>
      </c>
      <c r="F201" s="419">
        <v>43100</v>
      </c>
      <c r="G201" s="140">
        <v>8198.7691699999996</v>
      </c>
      <c r="H201" s="140">
        <v>22</v>
      </c>
      <c r="I201" s="140">
        <v>13.545400000000001</v>
      </c>
      <c r="J201" s="140">
        <v>34.77928</v>
      </c>
      <c r="K201" s="140">
        <v>1407.8392100000001</v>
      </c>
      <c r="L201" s="140">
        <v>1540.3503590000003</v>
      </c>
      <c r="M201" s="143"/>
      <c r="N201" s="143"/>
      <c r="O201" s="623" t="e">
        <f t="shared" si="12"/>
        <v>#DIV/0!</v>
      </c>
      <c r="P201" s="140"/>
    </row>
    <row r="202" spans="1:16" s="382" customFormat="1" ht="17.100000000000001" customHeight="1">
      <c r="A202" s="138" t="s">
        <v>1932</v>
      </c>
      <c r="B202" s="137" t="s">
        <v>1928</v>
      </c>
      <c r="C202" s="138" t="s">
        <v>1066</v>
      </c>
      <c r="D202" s="138" t="s">
        <v>971</v>
      </c>
      <c r="E202" s="138" t="s">
        <v>1571</v>
      </c>
      <c r="F202" s="420">
        <v>43100</v>
      </c>
      <c r="G202" s="141">
        <v>8095.1790999999994</v>
      </c>
      <c r="H202" s="141">
        <v>33</v>
      </c>
      <c r="I202" s="142" t="s">
        <v>189</v>
      </c>
      <c r="J202" s="141">
        <v>1970.5738100000001</v>
      </c>
      <c r="K202" s="141">
        <v>1515.9959699999999</v>
      </c>
      <c r="L202" s="141">
        <v>3948.7774299999996</v>
      </c>
      <c r="M202" s="142"/>
      <c r="N202" s="142"/>
      <c r="O202" s="623" t="e">
        <f t="shared" si="12"/>
        <v>#DIV/0!</v>
      </c>
      <c r="P202" s="140"/>
    </row>
    <row r="203" spans="1:16" s="382" customFormat="1" ht="29.45" customHeight="1">
      <c r="A203" s="136" t="s">
        <v>1934</v>
      </c>
      <c r="B203" s="135" t="s">
        <v>3751</v>
      </c>
      <c r="C203" s="136" t="s">
        <v>3752</v>
      </c>
      <c r="D203" s="136" t="s">
        <v>1622</v>
      </c>
      <c r="E203" s="136" t="s">
        <v>1571</v>
      </c>
      <c r="F203" s="419">
        <v>43100</v>
      </c>
      <c r="G203" s="140">
        <v>8066.6538799999998</v>
      </c>
      <c r="H203" s="140">
        <v>187</v>
      </c>
      <c r="I203" s="140">
        <v>18.701809999999998</v>
      </c>
      <c r="J203" s="140">
        <v>393.80642000000006</v>
      </c>
      <c r="K203" s="140">
        <v>5796.0089100000005</v>
      </c>
      <c r="L203" s="140">
        <v>6733.3088099999995</v>
      </c>
      <c r="M203" s="140">
        <v>58</v>
      </c>
      <c r="N203" s="140">
        <v>135</v>
      </c>
      <c r="O203" s="623">
        <f t="shared" si="12"/>
        <v>0.30051813471502592</v>
      </c>
      <c r="P203" s="140">
        <f>O203*K203</f>
        <v>1741.8057864248706</v>
      </c>
    </row>
    <row r="204" spans="1:16" s="382" customFormat="1" ht="29.45" customHeight="1">
      <c r="A204" s="138" t="s">
        <v>1936</v>
      </c>
      <c r="B204" s="137" t="s">
        <v>1933</v>
      </c>
      <c r="C204" s="138" t="s">
        <v>1141</v>
      </c>
      <c r="D204" s="138" t="s">
        <v>1142</v>
      </c>
      <c r="E204" s="138" t="s">
        <v>1571</v>
      </c>
      <c r="F204" s="420">
        <v>43100</v>
      </c>
      <c r="G204" s="141">
        <v>8023.55728</v>
      </c>
      <c r="H204" s="141">
        <v>40</v>
      </c>
      <c r="I204" s="142" t="s">
        <v>189</v>
      </c>
      <c r="J204" s="141">
        <v>493.70271000000002</v>
      </c>
      <c r="K204" s="141">
        <v>1467.09295</v>
      </c>
      <c r="L204" s="141">
        <v>2226.5489099999995</v>
      </c>
      <c r="M204" s="141">
        <v>17</v>
      </c>
      <c r="N204" s="141">
        <v>23</v>
      </c>
      <c r="O204" s="623">
        <f t="shared" si="12"/>
        <v>0.42499999999999999</v>
      </c>
      <c r="P204" s="140">
        <f>O204*K204</f>
        <v>623.51450375000002</v>
      </c>
    </row>
    <row r="205" spans="1:16" s="382" customFormat="1" ht="29.45" customHeight="1">
      <c r="A205" s="136" t="s">
        <v>1938</v>
      </c>
      <c r="B205" s="135" t="s">
        <v>3753</v>
      </c>
      <c r="C205" s="136" t="s">
        <v>3754</v>
      </c>
      <c r="D205" s="136" t="s">
        <v>1406</v>
      </c>
      <c r="E205" s="136" t="s">
        <v>1571</v>
      </c>
      <c r="F205" s="419">
        <v>43100</v>
      </c>
      <c r="G205" s="140">
        <v>8000.2240000000002</v>
      </c>
      <c r="H205" s="140">
        <v>128</v>
      </c>
      <c r="I205" s="140">
        <v>-1.5330000000000001</v>
      </c>
      <c r="J205" s="140">
        <v>-4671.1970000000001</v>
      </c>
      <c r="K205" s="140">
        <v>5317.3760000000002</v>
      </c>
      <c r="L205" s="140">
        <v>2303.7710000000002</v>
      </c>
      <c r="M205" s="140">
        <v>13</v>
      </c>
      <c r="N205" s="140">
        <v>108</v>
      </c>
      <c r="O205" s="623">
        <f t="shared" si="12"/>
        <v>0.10743801652892562</v>
      </c>
      <c r="P205" s="140">
        <f>O205*K205</f>
        <v>571.28833057851239</v>
      </c>
    </row>
    <row r="206" spans="1:16" s="382" customFormat="1" ht="17.100000000000001" customHeight="1">
      <c r="A206" s="138" t="s">
        <v>1940</v>
      </c>
      <c r="B206" s="137" t="s">
        <v>3755</v>
      </c>
      <c r="C206" s="138" t="s">
        <v>3756</v>
      </c>
      <c r="D206" s="138" t="s">
        <v>811</v>
      </c>
      <c r="E206" s="138" t="s">
        <v>1571</v>
      </c>
      <c r="F206" s="420">
        <v>43100</v>
      </c>
      <c r="G206" s="141">
        <v>7837.4904489999999</v>
      </c>
      <c r="H206" s="141">
        <v>20</v>
      </c>
      <c r="I206" s="141">
        <v>2.8796599999999999</v>
      </c>
      <c r="J206" s="141">
        <v>328.01911999999999</v>
      </c>
      <c r="K206" s="141">
        <v>994.05722000000003</v>
      </c>
      <c r="L206" s="141">
        <v>1589.9536900000003</v>
      </c>
      <c r="M206" s="142"/>
      <c r="N206" s="142"/>
      <c r="O206" s="623" t="e">
        <f t="shared" si="12"/>
        <v>#DIV/0!</v>
      </c>
      <c r="P206" s="140"/>
    </row>
    <row r="207" spans="1:16" s="382" customFormat="1" ht="29.45" customHeight="1">
      <c r="A207" s="136" t="s">
        <v>1942</v>
      </c>
      <c r="B207" s="135" t="s">
        <v>3757</v>
      </c>
      <c r="C207" s="136" t="s">
        <v>3758</v>
      </c>
      <c r="D207" s="136" t="s">
        <v>1595</v>
      </c>
      <c r="E207" s="136" t="s">
        <v>1571</v>
      </c>
      <c r="F207" s="419">
        <v>43100</v>
      </c>
      <c r="G207" s="140">
        <v>7624.2525900000001</v>
      </c>
      <c r="H207" s="140">
        <v>74</v>
      </c>
      <c r="I207" s="140">
        <v>4.2915900000000002</v>
      </c>
      <c r="J207" s="140">
        <v>665.70771000000002</v>
      </c>
      <c r="K207" s="140">
        <v>3830.54097</v>
      </c>
      <c r="L207" s="140">
        <v>5485.8401199999989</v>
      </c>
      <c r="M207" s="143"/>
      <c r="N207" s="143"/>
      <c r="O207" s="623" t="e">
        <f t="shared" si="12"/>
        <v>#DIV/0!</v>
      </c>
      <c r="P207" s="140"/>
    </row>
    <row r="208" spans="1:16" s="382" customFormat="1" ht="17.100000000000001" customHeight="1">
      <c r="A208" s="138" t="s">
        <v>1944</v>
      </c>
      <c r="B208" s="137" t="s">
        <v>3759</v>
      </c>
      <c r="C208" s="138" t="s">
        <v>3760</v>
      </c>
      <c r="D208" s="138" t="s">
        <v>3761</v>
      </c>
      <c r="E208" s="138" t="s">
        <v>1571</v>
      </c>
      <c r="F208" s="420">
        <v>43100</v>
      </c>
      <c r="G208" s="141">
        <v>7491.845659999999</v>
      </c>
      <c r="H208" s="141">
        <v>32</v>
      </c>
      <c r="I208" s="141">
        <v>391.22788000000003</v>
      </c>
      <c r="J208" s="141">
        <v>1264.0199299999999</v>
      </c>
      <c r="K208" s="141">
        <v>1236.3506800000002</v>
      </c>
      <c r="L208" s="141">
        <v>3293.3337500000002</v>
      </c>
      <c r="M208" s="142"/>
      <c r="N208" s="142"/>
      <c r="O208" s="623" t="e">
        <f t="shared" si="12"/>
        <v>#DIV/0!</v>
      </c>
      <c r="P208" s="140"/>
    </row>
    <row r="209" spans="1:16" s="382" customFormat="1" ht="29.45" customHeight="1">
      <c r="A209" s="136" t="s">
        <v>1946</v>
      </c>
      <c r="B209" s="135" t="s">
        <v>3762</v>
      </c>
      <c r="C209" s="136" t="s">
        <v>3763</v>
      </c>
      <c r="D209" s="136" t="s">
        <v>1266</v>
      </c>
      <c r="E209" s="136" t="s">
        <v>1571</v>
      </c>
      <c r="F209" s="419">
        <v>43100</v>
      </c>
      <c r="G209" s="140">
        <v>7102.1059790000008</v>
      </c>
      <c r="H209" s="140">
        <v>6</v>
      </c>
      <c r="I209" s="140">
        <v>166.6122</v>
      </c>
      <c r="J209" s="140">
        <v>458.15737000000001</v>
      </c>
      <c r="K209" s="140">
        <v>857.70029</v>
      </c>
      <c r="L209" s="140">
        <v>1544.1030800000001</v>
      </c>
      <c r="M209" s="143"/>
      <c r="N209" s="143"/>
      <c r="O209" s="623" t="e">
        <f t="shared" si="12"/>
        <v>#DIV/0!</v>
      </c>
      <c r="P209" s="140"/>
    </row>
    <row r="210" spans="1:16" s="382" customFormat="1" ht="29.45" customHeight="1">
      <c r="A210" s="138" t="s">
        <v>1948</v>
      </c>
      <c r="B210" s="137" t="s">
        <v>3764</v>
      </c>
      <c r="C210" s="138" t="s">
        <v>3765</v>
      </c>
      <c r="D210" s="138" t="s">
        <v>1190</v>
      </c>
      <c r="E210" s="138" t="s">
        <v>1571</v>
      </c>
      <c r="F210" s="420">
        <v>43100</v>
      </c>
      <c r="G210" s="141">
        <v>6923.1778899999999</v>
      </c>
      <c r="H210" s="141">
        <v>34</v>
      </c>
      <c r="I210" s="141">
        <v>73.150620000000018</v>
      </c>
      <c r="J210" s="141">
        <v>626.12780000000009</v>
      </c>
      <c r="K210" s="141">
        <v>1566.85221</v>
      </c>
      <c r="L210" s="141">
        <v>2677.3478599999999</v>
      </c>
      <c r="M210" s="141">
        <v>5</v>
      </c>
      <c r="N210" s="141">
        <v>39</v>
      </c>
      <c r="O210" s="623">
        <f t="shared" si="12"/>
        <v>0.11363636363636363</v>
      </c>
      <c r="P210" s="140">
        <f>O210*K210</f>
        <v>178.0513875</v>
      </c>
    </row>
    <row r="211" spans="1:16" s="382" customFormat="1" ht="29.45" customHeight="1">
      <c r="A211" s="136" t="s">
        <v>1950</v>
      </c>
      <c r="B211" s="135" t="s">
        <v>3766</v>
      </c>
      <c r="C211" s="136" t="s">
        <v>3767</v>
      </c>
      <c r="D211" s="136" t="s">
        <v>596</v>
      </c>
      <c r="E211" s="136" t="s">
        <v>1571</v>
      </c>
      <c r="F211" s="419">
        <v>43100</v>
      </c>
      <c r="G211" s="140">
        <v>6917</v>
      </c>
      <c r="H211" s="140">
        <v>94</v>
      </c>
      <c r="I211" s="140">
        <v>-1218</v>
      </c>
      <c r="J211" s="140">
        <v>934</v>
      </c>
      <c r="K211" s="140">
        <v>5467</v>
      </c>
      <c r="L211" s="140">
        <v>5570</v>
      </c>
      <c r="M211" s="140">
        <v>35</v>
      </c>
      <c r="N211" s="140">
        <v>58</v>
      </c>
      <c r="O211" s="623">
        <f t="shared" si="12"/>
        <v>0.37634408602150538</v>
      </c>
      <c r="P211" s="140">
        <f>O211*K211</f>
        <v>2057.4731182795699</v>
      </c>
    </row>
    <row r="212" spans="1:16" s="382" customFormat="1" ht="43.15" customHeight="1">
      <c r="A212" s="138" t="s">
        <v>1952</v>
      </c>
      <c r="B212" s="137" t="s">
        <v>3768</v>
      </c>
      <c r="C212" s="138" t="s">
        <v>3769</v>
      </c>
      <c r="D212" s="138" t="s">
        <v>1112</v>
      </c>
      <c r="E212" s="138" t="s">
        <v>1571</v>
      </c>
      <c r="F212" s="420">
        <v>43100</v>
      </c>
      <c r="G212" s="141">
        <v>6680.5940199999995</v>
      </c>
      <c r="H212" s="141">
        <v>25</v>
      </c>
      <c r="I212" s="141">
        <v>2.4766699999999999</v>
      </c>
      <c r="J212" s="141">
        <v>7.8429099999999998</v>
      </c>
      <c r="K212" s="141">
        <v>745.62400000000002</v>
      </c>
      <c r="L212" s="141">
        <v>939.64862000000005</v>
      </c>
      <c r="M212" s="141">
        <v>5</v>
      </c>
      <c r="N212" s="141">
        <v>20</v>
      </c>
      <c r="O212" s="623">
        <f t="shared" si="12"/>
        <v>0.2</v>
      </c>
      <c r="P212" s="140">
        <f>O212*K212</f>
        <v>149.12480000000002</v>
      </c>
    </row>
    <row r="213" spans="1:16" s="382" customFormat="1" ht="29.45" customHeight="1">
      <c r="A213" s="136" t="s">
        <v>1954</v>
      </c>
      <c r="B213" s="135" t="s">
        <v>3770</v>
      </c>
      <c r="C213" s="136" t="s">
        <v>3771</v>
      </c>
      <c r="D213" s="136" t="s">
        <v>811</v>
      </c>
      <c r="E213" s="136" t="s">
        <v>1571</v>
      </c>
      <c r="F213" s="419">
        <v>43100</v>
      </c>
      <c r="G213" s="140">
        <v>6618.527</v>
      </c>
      <c r="H213" s="140">
        <v>122</v>
      </c>
      <c r="I213" s="140">
        <v>23.004999999999999</v>
      </c>
      <c r="J213" s="140">
        <v>1115.0219999999999</v>
      </c>
      <c r="K213" s="140">
        <v>3635.9639999999999</v>
      </c>
      <c r="L213" s="140">
        <v>4911.71</v>
      </c>
      <c r="M213" s="140">
        <v>131</v>
      </c>
      <c r="N213" s="140">
        <v>16</v>
      </c>
      <c r="O213" s="623">
        <f t="shared" si="12"/>
        <v>0.891156462585034</v>
      </c>
      <c r="P213" s="140">
        <f>O213*K213</f>
        <v>3240.2128163265306</v>
      </c>
    </row>
    <row r="214" spans="1:16" s="382" customFormat="1" ht="17.100000000000001" customHeight="1">
      <c r="A214" s="138" t="s">
        <v>1956</v>
      </c>
      <c r="B214" s="137" t="s">
        <v>3772</v>
      </c>
      <c r="C214" s="138" t="s">
        <v>3773</v>
      </c>
      <c r="D214" s="138" t="s">
        <v>969</v>
      </c>
      <c r="E214" s="138" t="s">
        <v>1571</v>
      </c>
      <c r="F214" s="420">
        <v>43100</v>
      </c>
      <c r="G214" s="141">
        <v>6618.2449999999999</v>
      </c>
      <c r="H214" s="141">
        <v>30</v>
      </c>
      <c r="I214" s="141">
        <v>-68.27</v>
      </c>
      <c r="J214" s="141">
        <v>-8839.1</v>
      </c>
      <c r="K214" s="141">
        <v>3179.9290000000001</v>
      </c>
      <c r="L214" s="141">
        <v>-4846.4930000000004</v>
      </c>
      <c r="M214" s="142"/>
      <c r="N214" s="142"/>
      <c r="O214" s="623" t="e">
        <f t="shared" si="12"/>
        <v>#DIV/0!</v>
      </c>
      <c r="P214" s="140"/>
    </row>
    <row r="215" spans="1:16" s="382" customFormat="1" ht="29.45" customHeight="1">
      <c r="A215" s="136" t="s">
        <v>1958</v>
      </c>
      <c r="B215" s="135" t="s">
        <v>3774</v>
      </c>
      <c r="C215" s="136" t="s">
        <v>3775</v>
      </c>
      <c r="D215" s="136" t="s">
        <v>1215</v>
      </c>
      <c r="E215" s="136" t="s">
        <v>1571</v>
      </c>
      <c r="F215" s="419">
        <v>43100</v>
      </c>
      <c r="G215" s="140">
        <v>6573.4009400000004</v>
      </c>
      <c r="H215" s="140">
        <v>62</v>
      </c>
      <c r="I215" s="143" t="s">
        <v>189</v>
      </c>
      <c r="J215" s="140">
        <v>-38.680050000000001</v>
      </c>
      <c r="K215" s="140">
        <v>1860.6776000000002</v>
      </c>
      <c r="L215" s="140">
        <v>1822.0116300000002</v>
      </c>
      <c r="M215" s="140">
        <v>28</v>
      </c>
      <c r="N215" s="140">
        <v>30</v>
      </c>
      <c r="O215" s="623">
        <f t="shared" si="12"/>
        <v>0.48275862068965519</v>
      </c>
      <c r="P215" s="140">
        <f>O215*K215</f>
        <v>898.25815172413809</v>
      </c>
    </row>
    <row r="216" spans="1:16" s="382" customFormat="1" ht="17.100000000000001" customHeight="1">
      <c r="A216" s="138" t="s">
        <v>1960</v>
      </c>
      <c r="B216" s="137" t="s">
        <v>3776</v>
      </c>
      <c r="C216" s="138" t="s">
        <v>3777</v>
      </c>
      <c r="D216" s="138" t="s">
        <v>969</v>
      </c>
      <c r="E216" s="138" t="s">
        <v>1571</v>
      </c>
      <c r="F216" s="420">
        <v>43100</v>
      </c>
      <c r="G216" s="141">
        <v>6549.7229200000002</v>
      </c>
      <c r="H216" s="141">
        <v>15</v>
      </c>
      <c r="I216" s="141">
        <v>113.16615000000002</v>
      </c>
      <c r="J216" s="141">
        <v>449.19925000000001</v>
      </c>
      <c r="K216" s="141">
        <v>580.77013999999997</v>
      </c>
      <c r="L216" s="141">
        <v>1215.9268500000001</v>
      </c>
      <c r="M216" s="142"/>
      <c r="N216" s="142"/>
      <c r="O216" s="623" t="e">
        <f t="shared" si="12"/>
        <v>#DIV/0!</v>
      </c>
      <c r="P216" s="140"/>
    </row>
    <row r="217" spans="1:16" s="382" customFormat="1" ht="29.45" customHeight="1">
      <c r="A217" s="136" t="s">
        <v>1962</v>
      </c>
      <c r="B217" s="135" t="s">
        <v>3778</v>
      </c>
      <c r="C217" s="136" t="s">
        <v>3779</v>
      </c>
      <c r="D217" s="136" t="s">
        <v>1622</v>
      </c>
      <c r="E217" s="136" t="s">
        <v>1571</v>
      </c>
      <c r="F217" s="419">
        <v>43100</v>
      </c>
      <c r="G217" s="140">
        <v>6242.5435400000006</v>
      </c>
      <c r="H217" s="140">
        <v>171</v>
      </c>
      <c r="I217" s="140">
        <v>22.564029999999999</v>
      </c>
      <c r="J217" s="140">
        <v>161.84131999999997</v>
      </c>
      <c r="K217" s="140">
        <v>4719.8060500000001</v>
      </c>
      <c r="L217" s="140">
        <v>5116.5754589999997</v>
      </c>
      <c r="M217" s="140">
        <v>22</v>
      </c>
      <c r="N217" s="140">
        <v>149</v>
      </c>
      <c r="O217" s="623">
        <f t="shared" si="12"/>
        <v>0.12865497076023391</v>
      </c>
      <c r="P217" s="140">
        <f>O217*K217</f>
        <v>607.22650935672516</v>
      </c>
    </row>
    <row r="218" spans="1:16" s="382" customFormat="1" ht="29.45" customHeight="1">
      <c r="A218" s="138" t="s">
        <v>1964</v>
      </c>
      <c r="B218" s="137" t="s">
        <v>1992</v>
      </c>
      <c r="C218" s="138" t="s">
        <v>1108</v>
      </c>
      <c r="D218" s="138" t="s">
        <v>969</v>
      </c>
      <c r="E218" s="138" t="s">
        <v>1571</v>
      </c>
      <c r="F218" s="420">
        <v>43100</v>
      </c>
      <c r="G218" s="141">
        <v>6083.6279999999997</v>
      </c>
      <c r="H218" s="141">
        <v>40</v>
      </c>
      <c r="I218" s="141">
        <v>-256.202</v>
      </c>
      <c r="J218" s="141">
        <v>-1845.43</v>
      </c>
      <c r="K218" s="141">
        <v>2219.7910000000002</v>
      </c>
      <c r="L218" s="141">
        <v>666.94500000000005</v>
      </c>
      <c r="M218" s="141">
        <v>5</v>
      </c>
      <c r="N218" s="141">
        <v>29</v>
      </c>
      <c r="O218" s="623">
        <f t="shared" si="12"/>
        <v>0.14705882352941177</v>
      </c>
      <c r="P218" s="140">
        <f>O218*K218</f>
        <v>326.43985294117653</v>
      </c>
    </row>
    <row r="219" spans="1:16" s="382" customFormat="1" ht="17.100000000000001" customHeight="1">
      <c r="A219" s="136" t="s">
        <v>1966</v>
      </c>
      <c r="B219" s="421" t="s">
        <v>3780</v>
      </c>
      <c r="C219" s="136" t="s">
        <v>3781</v>
      </c>
      <c r="D219" s="136" t="s">
        <v>971</v>
      </c>
      <c r="E219" s="136" t="s">
        <v>1571</v>
      </c>
      <c r="F219" s="419">
        <v>42004</v>
      </c>
      <c r="G219" s="140">
        <v>5913.5820000000003</v>
      </c>
      <c r="H219" s="140">
        <v>9</v>
      </c>
      <c r="I219" s="140">
        <v>138.44800000000001</v>
      </c>
      <c r="J219" s="140">
        <v>346.77300000000002</v>
      </c>
      <c r="K219" s="140">
        <v>640.95900000000006</v>
      </c>
      <c r="L219" s="140">
        <v>1141.8020000000001</v>
      </c>
      <c r="M219" s="140">
        <v>3</v>
      </c>
      <c r="N219" s="140">
        <v>5.73</v>
      </c>
      <c r="O219" s="623">
        <f t="shared" ref="O219:O282" si="16">M219/(M219+N219)</f>
        <v>0.3436426116838488</v>
      </c>
      <c r="P219" s="140">
        <f>O219*K219</f>
        <v>220.26082474226806</v>
      </c>
    </row>
    <row r="220" spans="1:16" s="382" customFormat="1" ht="17.100000000000001" customHeight="1">
      <c r="A220" s="138" t="s">
        <v>1968</v>
      </c>
      <c r="B220" s="137" t="s">
        <v>2000</v>
      </c>
      <c r="C220" s="138" t="s">
        <v>1187</v>
      </c>
      <c r="D220" s="138" t="s">
        <v>1184</v>
      </c>
      <c r="E220" s="138" t="s">
        <v>1571</v>
      </c>
      <c r="F220" s="420">
        <v>43100</v>
      </c>
      <c r="G220" s="141">
        <v>5895.6850300000006</v>
      </c>
      <c r="H220" s="141">
        <v>32</v>
      </c>
      <c r="I220" s="141">
        <v>47.503480000000003</v>
      </c>
      <c r="J220" s="141">
        <v>188.05431999999999</v>
      </c>
      <c r="K220" s="141">
        <v>1385.0116900000003</v>
      </c>
      <c r="L220" s="141">
        <v>1652.9723800000002</v>
      </c>
      <c r="M220" s="141">
        <v>5</v>
      </c>
      <c r="N220" s="141">
        <v>29</v>
      </c>
      <c r="O220" s="623">
        <f t="shared" si="16"/>
        <v>0.14705882352941177</v>
      </c>
      <c r="P220" s="140">
        <f>O220*K220</f>
        <v>203.6781897058824</v>
      </c>
    </row>
    <row r="221" spans="1:16" s="382" customFormat="1" ht="17.100000000000001" customHeight="1">
      <c r="A221" s="136" t="s">
        <v>1970</v>
      </c>
      <c r="B221" s="135" t="s">
        <v>2006</v>
      </c>
      <c r="C221" s="136" t="s">
        <v>967</v>
      </c>
      <c r="D221" s="136" t="s">
        <v>811</v>
      </c>
      <c r="E221" s="136" t="s">
        <v>1571</v>
      </c>
      <c r="F221" s="419">
        <v>43100</v>
      </c>
      <c r="G221" s="140">
        <v>5841.0835099999995</v>
      </c>
      <c r="H221" s="140">
        <v>34</v>
      </c>
      <c r="I221" s="140">
        <v>135.81564000000003</v>
      </c>
      <c r="J221" s="140">
        <v>444.49799999999999</v>
      </c>
      <c r="K221" s="140">
        <v>1263.1958999999999</v>
      </c>
      <c r="L221" s="140">
        <v>1887.7480700000001</v>
      </c>
      <c r="M221" s="143"/>
      <c r="N221" s="143"/>
      <c r="O221" s="623" t="e">
        <f t="shared" si="16"/>
        <v>#DIV/0!</v>
      </c>
      <c r="P221" s="140"/>
    </row>
    <row r="222" spans="1:16" s="382" customFormat="1" ht="17.100000000000001" customHeight="1">
      <c r="A222" s="138" t="s">
        <v>1973</v>
      </c>
      <c r="B222" s="137" t="s">
        <v>3782</v>
      </c>
      <c r="C222" s="138" t="s">
        <v>3783</v>
      </c>
      <c r="D222" s="138" t="s">
        <v>3784</v>
      </c>
      <c r="E222" s="138" t="s">
        <v>1571</v>
      </c>
      <c r="F222" s="420">
        <v>43100</v>
      </c>
      <c r="G222" s="141">
        <v>5836.1585999999998</v>
      </c>
      <c r="H222" s="141">
        <v>31</v>
      </c>
      <c r="I222" s="141">
        <v>-105.21762000000001</v>
      </c>
      <c r="J222" s="141">
        <v>131.63981999999999</v>
      </c>
      <c r="K222" s="141">
        <v>1553.9944700000001</v>
      </c>
      <c r="L222" s="141">
        <v>1632.33899</v>
      </c>
      <c r="M222" s="142"/>
      <c r="N222" s="142"/>
      <c r="O222" s="623" t="e">
        <f t="shared" si="16"/>
        <v>#DIV/0!</v>
      </c>
      <c r="P222" s="140"/>
    </row>
    <row r="223" spans="1:16" s="382" customFormat="1" ht="43.15" customHeight="1">
      <c r="A223" s="136" t="s">
        <v>1975</v>
      </c>
      <c r="B223" s="135" t="s">
        <v>3785</v>
      </c>
      <c r="C223" s="136" t="s">
        <v>3786</v>
      </c>
      <c r="D223" s="136" t="s">
        <v>1474</v>
      </c>
      <c r="E223" s="136" t="s">
        <v>1571</v>
      </c>
      <c r="F223" s="419">
        <v>43100</v>
      </c>
      <c r="G223" s="140">
        <v>5795.3869999999997</v>
      </c>
      <c r="H223" s="140">
        <v>125</v>
      </c>
      <c r="I223" s="140">
        <v>39.177999999999997</v>
      </c>
      <c r="J223" s="140">
        <v>354.834</v>
      </c>
      <c r="K223" s="140">
        <v>3247.1660000000002</v>
      </c>
      <c r="L223" s="140">
        <v>3679.5390000000002</v>
      </c>
      <c r="M223" s="140">
        <v>103</v>
      </c>
      <c r="N223" s="140">
        <v>9</v>
      </c>
      <c r="O223" s="623">
        <f t="shared" si="16"/>
        <v>0.9196428571428571</v>
      </c>
      <c r="P223" s="140">
        <f>O223*K223</f>
        <v>2986.2330178571428</v>
      </c>
    </row>
    <row r="224" spans="1:16" s="382" customFormat="1" ht="17.100000000000001" customHeight="1">
      <c r="A224" s="138" t="s">
        <v>1977</v>
      </c>
      <c r="B224" s="139" t="s">
        <v>2012</v>
      </c>
      <c r="C224" s="138" t="s">
        <v>790</v>
      </c>
      <c r="D224" s="138" t="s">
        <v>789</v>
      </c>
      <c r="E224" s="138" t="s">
        <v>1571</v>
      </c>
      <c r="F224" s="420">
        <v>42369</v>
      </c>
      <c r="G224" s="141">
        <v>5715.2150000000001</v>
      </c>
      <c r="H224" s="141">
        <v>19</v>
      </c>
      <c r="I224" s="141">
        <v>6.4990000000000006</v>
      </c>
      <c r="J224" s="141">
        <v>10.999000000000001</v>
      </c>
      <c r="K224" s="141">
        <v>613.29300000000001</v>
      </c>
      <c r="L224" s="141">
        <v>760.12400000000002</v>
      </c>
      <c r="M224" s="141">
        <v>2</v>
      </c>
      <c r="N224" s="141">
        <v>17</v>
      </c>
      <c r="O224" s="623">
        <f t="shared" si="16"/>
        <v>0.10526315789473684</v>
      </c>
      <c r="P224" s="140">
        <f>O224*K224</f>
        <v>64.557157894736832</v>
      </c>
    </row>
    <row r="225" spans="1:16" s="382" customFormat="1" ht="29.45" customHeight="1">
      <c r="A225" s="136" t="s">
        <v>1979</v>
      </c>
      <c r="B225" s="135" t="s">
        <v>2016</v>
      </c>
      <c r="C225" s="136" t="s">
        <v>826</v>
      </c>
      <c r="D225" s="136" t="s">
        <v>811</v>
      </c>
      <c r="E225" s="136" t="s">
        <v>1571</v>
      </c>
      <c r="F225" s="419">
        <v>43100</v>
      </c>
      <c r="G225" s="140">
        <v>5684.3279390000007</v>
      </c>
      <c r="H225" s="140">
        <v>54</v>
      </c>
      <c r="I225" s="140">
        <v>74.059759999999997</v>
      </c>
      <c r="J225" s="140">
        <v>230.16269</v>
      </c>
      <c r="K225" s="140">
        <v>1553.0065400000001</v>
      </c>
      <c r="L225" s="140">
        <v>2064.4476900000004</v>
      </c>
      <c r="M225" s="140">
        <v>28</v>
      </c>
      <c r="N225" s="140">
        <v>26</v>
      </c>
      <c r="O225" s="623">
        <f t="shared" si="16"/>
        <v>0.51851851851851849</v>
      </c>
      <c r="P225" s="140">
        <f>O225*K225</f>
        <v>805.26265037037035</v>
      </c>
    </row>
    <row r="226" spans="1:16" s="382" customFormat="1" ht="17.100000000000001" customHeight="1">
      <c r="A226" s="138" t="s">
        <v>1981</v>
      </c>
      <c r="B226" s="137" t="s">
        <v>3787</v>
      </c>
      <c r="C226" s="138" t="s">
        <v>3788</v>
      </c>
      <c r="D226" s="138" t="s">
        <v>1825</v>
      </c>
      <c r="E226" s="138" t="s">
        <v>1571</v>
      </c>
      <c r="F226" s="420">
        <v>43100</v>
      </c>
      <c r="G226" s="141">
        <v>5555.4959400000007</v>
      </c>
      <c r="H226" s="141">
        <v>50</v>
      </c>
      <c r="I226" s="141">
        <v>67.846729999999994</v>
      </c>
      <c r="J226" s="141">
        <v>77.022709999999989</v>
      </c>
      <c r="K226" s="141">
        <v>2120.8828189999999</v>
      </c>
      <c r="L226" s="141">
        <v>2318.0666690000003</v>
      </c>
      <c r="M226" s="141">
        <v>5</v>
      </c>
      <c r="N226" s="141">
        <v>46</v>
      </c>
      <c r="O226" s="623">
        <f t="shared" si="16"/>
        <v>9.8039215686274508E-2</v>
      </c>
      <c r="P226" s="140">
        <f>O226*K226</f>
        <v>207.92968813725489</v>
      </c>
    </row>
    <row r="227" spans="1:16" s="382" customFormat="1" ht="29.45" customHeight="1">
      <c r="A227" s="136" t="s">
        <v>1983</v>
      </c>
      <c r="B227" s="135" t="s">
        <v>3789</v>
      </c>
      <c r="C227" s="136" t="s">
        <v>3790</v>
      </c>
      <c r="D227" s="136" t="s">
        <v>3791</v>
      </c>
      <c r="E227" s="136" t="s">
        <v>1571</v>
      </c>
      <c r="F227" s="419">
        <v>43100</v>
      </c>
      <c r="G227" s="140">
        <v>5535.1340700000001</v>
      </c>
      <c r="H227" s="140">
        <v>30</v>
      </c>
      <c r="I227" s="140">
        <v>189.2208</v>
      </c>
      <c r="J227" s="140">
        <v>746.31283000000008</v>
      </c>
      <c r="K227" s="140">
        <v>1047.8050699999999</v>
      </c>
      <c r="L227" s="140">
        <v>2263.290019</v>
      </c>
      <c r="M227" s="143"/>
      <c r="N227" s="143"/>
      <c r="O227" s="623" t="e">
        <f t="shared" si="16"/>
        <v>#DIV/0!</v>
      </c>
      <c r="P227" s="140"/>
    </row>
    <row r="228" spans="1:16" s="382" customFormat="1" ht="17.100000000000001" customHeight="1">
      <c r="A228" s="138" t="s">
        <v>1985</v>
      </c>
      <c r="B228" s="137" t="s">
        <v>3792</v>
      </c>
      <c r="C228" s="138" t="s">
        <v>3793</v>
      </c>
      <c r="D228" s="138" t="s">
        <v>969</v>
      </c>
      <c r="E228" s="138" t="s">
        <v>1571</v>
      </c>
      <c r="F228" s="420">
        <v>43100</v>
      </c>
      <c r="G228" s="141">
        <v>5513.62014</v>
      </c>
      <c r="H228" s="141">
        <v>44</v>
      </c>
      <c r="I228" s="141">
        <v>35.155189999999997</v>
      </c>
      <c r="J228" s="141">
        <v>197.53154000000001</v>
      </c>
      <c r="K228" s="141">
        <v>1833.5771999999999</v>
      </c>
      <c r="L228" s="141">
        <v>2106.9987390000001</v>
      </c>
      <c r="M228" s="142"/>
      <c r="N228" s="142"/>
      <c r="O228" s="623" t="e">
        <f t="shared" si="16"/>
        <v>#DIV/0!</v>
      </c>
      <c r="P228" s="140"/>
    </row>
    <row r="229" spans="1:16" s="382" customFormat="1" ht="43.15" customHeight="1">
      <c r="A229" s="136" t="s">
        <v>1987</v>
      </c>
      <c r="B229" s="135" t="s">
        <v>3794</v>
      </c>
      <c r="C229" s="136" t="s">
        <v>3795</v>
      </c>
      <c r="D229" s="136" t="s">
        <v>1266</v>
      </c>
      <c r="E229" s="136" t="s">
        <v>1571</v>
      </c>
      <c r="F229" s="419">
        <v>43100</v>
      </c>
      <c r="G229" s="140">
        <v>5424.6469999999999</v>
      </c>
      <c r="H229" s="140">
        <v>48</v>
      </c>
      <c r="I229" s="143" t="s">
        <v>189</v>
      </c>
      <c r="J229" s="140">
        <v>209.441</v>
      </c>
      <c r="K229" s="140">
        <v>2917.4880000000003</v>
      </c>
      <c r="L229" s="140">
        <v>4435.9319999999998</v>
      </c>
      <c r="M229" s="140">
        <v>5</v>
      </c>
      <c r="N229" s="140">
        <v>44</v>
      </c>
      <c r="O229" s="623">
        <f t="shared" si="16"/>
        <v>0.10204081632653061</v>
      </c>
      <c r="P229" s="140">
        <f>O229*K229</f>
        <v>297.70285714285717</v>
      </c>
    </row>
    <row r="230" spans="1:16" s="382" customFormat="1" ht="17.100000000000001" customHeight="1">
      <c r="A230" s="138" t="s">
        <v>1989</v>
      </c>
      <c r="B230" s="137" t="s">
        <v>2036</v>
      </c>
      <c r="C230" s="138" t="s">
        <v>1496</v>
      </c>
      <c r="D230" s="138" t="s">
        <v>1474</v>
      </c>
      <c r="E230" s="138" t="s">
        <v>1571</v>
      </c>
      <c r="F230" s="420">
        <v>43100</v>
      </c>
      <c r="G230" s="141">
        <v>5411.8825200000001</v>
      </c>
      <c r="H230" s="141">
        <v>55</v>
      </c>
      <c r="I230" s="141">
        <v>-7.4004200000000004</v>
      </c>
      <c r="J230" s="141">
        <v>-25.236250000000002</v>
      </c>
      <c r="K230" s="141">
        <v>1939.7357</v>
      </c>
      <c r="L230" s="141">
        <v>2076.4500700000003</v>
      </c>
      <c r="M230" s="141">
        <v>4</v>
      </c>
      <c r="N230" s="141">
        <v>45</v>
      </c>
      <c r="O230" s="623">
        <f t="shared" si="16"/>
        <v>8.1632653061224483E-2</v>
      </c>
      <c r="P230" s="140">
        <f>O230*K230</f>
        <v>158.34577142857142</v>
      </c>
    </row>
    <row r="231" spans="1:16" s="382" customFormat="1" ht="17.100000000000001" customHeight="1">
      <c r="A231" s="136" t="s">
        <v>1991</v>
      </c>
      <c r="B231" s="135" t="s">
        <v>3796</v>
      </c>
      <c r="C231" s="136" t="s">
        <v>3797</v>
      </c>
      <c r="D231" s="136" t="s">
        <v>3798</v>
      </c>
      <c r="E231" s="136" t="s">
        <v>4101</v>
      </c>
      <c r="F231" s="419">
        <v>43100</v>
      </c>
      <c r="G231" s="140">
        <v>5396.9767700000002</v>
      </c>
      <c r="H231" s="140">
        <v>136</v>
      </c>
      <c r="I231" s="140">
        <v>437.07224000000002</v>
      </c>
      <c r="J231" s="140">
        <v>1393.9985200000001</v>
      </c>
      <c r="K231" s="140">
        <v>2739.91644</v>
      </c>
      <c r="L231" s="140">
        <v>4587.2905000000001</v>
      </c>
      <c r="M231" s="143"/>
      <c r="N231" s="143"/>
      <c r="O231" s="623" t="e">
        <f t="shared" si="16"/>
        <v>#DIV/0!</v>
      </c>
      <c r="P231" s="140"/>
    </row>
    <row r="232" spans="1:16" s="382" customFormat="1" ht="17.100000000000001" customHeight="1">
      <c r="A232" s="138" t="s">
        <v>1993</v>
      </c>
      <c r="B232" s="137" t="s">
        <v>2050</v>
      </c>
      <c r="C232" s="138" t="s">
        <v>1520</v>
      </c>
      <c r="D232" s="138" t="s">
        <v>1501</v>
      </c>
      <c r="E232" s="138" t="s">
        <v>1571</v>
      </c>
      <c r="F232" s="420">
        <v>43100</v>
      </c>
      <c r="G232" s="141">
        <v>5267.1611199999988</v>
      </c>
      <c r="H232" s="141">
        <v>27</v>
      </c>
      <c r="I232" s="141">
        <v>47.637659999999997</v>
      </c>
      <c r="J232" s="141">
        <v>99.294020000000003</v>
      </c>
      <c r="K232" s="141">
        <v>1028.2850900000001</v>
      </c>
      <c r="L232" s="141">
        <v>1516.9420300000002</v>
      </c>
      <c r="M232" s="142"/>
      <c r="N232" s="142"/>
      <c r="O232" s="623" t="e">
        <f t="shared" si="16"/>
        <v>#DIV/0!</v>
      </c>
      <c r="P232" s="140"/>
    </row>
    <row r="233" spans="1:16" s="382" customFormat="1" ht="17.100000000000001" customHeight="1">
      <c r="A233" s="136" t="s">
        <v>1995</v>
      </c>
      <c r="B233" s="135" t="s">
        <v>2056</v>
      </c>
      <c r="C233" s="136" t="s">
        <v>718</v>
      </c>
      <c r="D233" s="136" t="s">
        <v>719</v>
      </c>
      <c r="E233" s="136" t="s">
        <v>1571</v>
      </c>
      <c r="F233" s="419">
        <v>43100</v>
      </c>
      <c r="G233" s="140">
        <v>5178.9470099999999</v>
      </c>
      <c r="H233" s="140">
        <v>42</v>
      </c>
      <c r="I233" s="140">
        <v>15.556040000000001</v>
      </c>
      <c r="J233" s="140">
        <v>262.2928</v>
      </c>
      <c r="K233" s="140">
        <v>1562.8727800000001</v>
      </c>
      <c r="L233" s="140">
        <v>2300.0847000000003</v>
      </c>
      <c r="M233" s="143"/>
      <c r="N233" s="143"/>
      <c r="O233" s="623" t="e">
        <f t="shared" si="16"/>
        <v>#DIV/0!</v>
      </c>
      <c r="P233" s="140"/>
    </row>
    <row r="234" spans="1:16" s="382" customFormat="1" ht="29.45" customHeight="1">
      <c r="A234" s="138" t="s">
        <v>1997</v>
      </c>
      <c r="B234" s="137" t="s">
        <v>3799</v>
      </c>
      <c r="C234" s="138" t="s">
        <v>3800</v>
      </c>
      <c r="D234" s="138" t="s">
        <v>811</v>
      </c>
      <c r="E234" s="138" t="s">
        <v>1571</v>
      </c>
      <c r="F234" s="420">
        <v>42735</v>
      </c>
      <c r="G234" s="141">
        <v>5127.2304100000001</v>
      </c>
      <c r="H234" s="141">
        <v>109</v>
      </c>
      <c r="I234" s="142" t="s">
        <v>189</v>
      </c>
      <c r="J234" s="141">
        <v>158.83579</v>
      </c>
      <c r="K234" s="141">
        <v>2347.6732900000002</v>
      </c>
      <c r="L234" s="141">
        <v>2784.3532700000001</v>
      </c>
      <c r="M234" s="142"/>
      <c r="N234" s="142"/>
      <c r="O234" s="623" t="e">
        <f t="shared" si="16"/>
        <v>#DIV/0!</v>
      </c>
      <c r="P234" s="140"/>
    </row>
    <row r="235" spans="1:16" s="382" customFormat="1" ht="17.100000000000001" customHeight="1">
      <c r="A235" s="136" t="s">
        <v>1999</v>
      </c>
      <c r="B235" s="135" t="s">
        <v>3801</v>
      </c>
      <c r="C235" s="136" t="s">
        <v>3802</v>
      </c>
      <c r="D235" s="136" t="s">
        <v>1023</v>
      </c>
      <c r="E235" s="136" t="s">
        <v>1571</v>
      </c>
      <c r="F235" s="419">
        <v>43100</v>
      </c>
      <c r="G235" s="140">
        <v>4858.5909000000001</v>
      </c>
      <c r="H235" s="140">
        <v>15</v>
      </c>
      <c r="I235" s="140">
        <v>-0.37964000000000003</v>
      </c>
      <c r="J235" s="140">
        <v>16.505700000000001</v>
      </c>
      <c r="K235" s="140">
        <v>734.04561999999999</v>
      </c>
      <c r="L235" s="140">
        <v>854.68759999999997</v>
      </c>
      <c r="M235" s="143"/>
      <c r="N235" s="143"/>
      <c r="O235" s="623" t="e">
        <f t="shared" si="16"/>
        <v>#DIV/0!</v>
      </c>
      <c r="P235" s="140"/>
    </row>
    <row r="236" spans="1:16" s="382" customFormat="1" ht="29.45" customHeight="1">
      <c r="A236" s="138" t="s">
        <v>2001</v>
      </c>
      <c r="B236" s="137" t="s">
        <v>2096</v>
      </c>
      <c r="C236" s="138" t="s">
        <v>1340</v>
      </c>
      <c r="D236" s="138" t="s">
        <v>1341</v>
      </c>
      <c r="E236" s="138" t="s">
        <v>1571</v>
      </c>
      <c r="F236" s="420">
        <v>43100</v>
      </c>
      <c r="G236" s="141">
        <v>4849.4679999999998</v>
      </c>
      <c r="H236" s="141">
        <v>124</v>
      </c>
      <c r="I236" s="142" t="s">
        <v>189</v>
      </c>
      <c r="J236" s="141">
        <v>-20</v>
      </c>
      <c r="K236" s="141">
        <v>2472.7829999999999</v>
      </c>
      <c r="L236" s="141">
        <v>2664.7110000000002</v>
      </c>
      <c r="M236" s="141">
        <v>63</v>
      </c>
      <c r="N236" s="141">
        <v>66</v>
      </c>
      <c r="O236" s="623">
        <f t="shared" si="16"/>
        <v>0.48837209302325579</v>
      </c>
      <c r="P236" s="140">
        <f>O236*K236</f>
        <v>1207.6382093023255</v>
      </c>
    </row>
    <row r="237" spans="1:16" s="382" customFormat="1" ht="17.100000000000001" customHeight="1">
      <c r="A237" s="136" t="s">
        <v>2003</v>
      </c>
      <c r="B237" s="135" t="s">
        <v>2106</v>
      </c>
      <c r="C237" s="136" t="s">
        <v>1162</v>
      </c>
      <c r="D237" s="136" t="s">
        <v>1156</v>
      </c>
      <c r="E237" s="136" t="s">
        <v>1571</v>
      </c>
      <c r="F237" s="419">
        <v>43100</v>
      </c>
      <c r="G237" s="140">
        <v>4720.7025100000001</v>
      </c>
      <c r="H237" s="140">
        <v>52</v>
      </c>
      <c r="I237" s="140">
        <v>-54.379599999999996</v>
      </c>
      <c r="J237" s="140">
        <v>-24.037710000000001</v>
      </c>
      <c r="K237" s="140">
        <v>1878.6566</v>
      </c>
      <c r="L237" s="140">
        <v>2247.029329</v>
      </c>
      <c r="M237" s="143"/>
      <c r="N237" s="143"/>
      <c r="O237" s="623" t="e">
        <f t="shared" si="16"/>
        <v>#DIV/0!</v>
      </c>
      <c r="P237" s="140"/>
    </row>
    <row r="238" spans="1:16" s="382" customFormat="1" ht="29.45" customHeight="1">
      <c r="A238" s="138" t="s">
        <v>2005</v>
      </c>
      <c r="B238" s="137" t="s">
        <v>2112</v>
      </c>
      <c r="C238" s="138" t="s">
        <v>1079</v>
      </c>
      <c r="D238" s="138" t="s">
        <v>969</v>
      </c>
      <c r="E238" s="138" t="s">
        <v>1571</v>
      </c>
      <c r="F238" s="420">
        <v>43100</v>
      </c>
      <c r="G238" s="141">
        <v>4677</v>
      </c>
      <c r="H238" s="141">
        <v>46</v>
      </c>
      <c r="I238" s="141">
        <v>583</v>
      </c>
      <c r="J238" s="141">
        <v>1566</v>
      </c>
      <c r="K238" s="141">
        <v>1824</v>
      </c>
      <c r="L238" s="141">
        <v>4257</v>
      </c>
      <c r="M238" s="141">
        <v>12</v>
      </c>
      <c r="N238" s="141">
        <v>32</v>
      </c>
      <c r="O238" s="623">
        <f t="shared" si="16"/>
        <v>0.27272727272727271</v>
      </c>
      <c r="P238" s="140">
        <f>O238*K238</f>
        <v>497.45454545454544</v>
      </c>
    </row>
    <row r="239" spans="1:16" s="382" customFormat="1" ht="17.100000000000001" customHeight="1">
      <c r="A239" s="136" t="s">
        <v>2007</v>
      </c>
      <c r="B239" s="135" t="s">
        <v>3803</v>
      </c>
      <c r="C239" s="136" t="s">
        <v>3804</v>
      </c>
      <c r="D239" s="136" t="s">
        <v>1190</v>
      </c>
      <c r="E239" s="136" t="s">
        <v>1571</v>
      </c>
      <c r="F239" s="419">
        <v>43100</v>
      </c>
      <c r="G239" s="140">
        <v>4648.5842000000002</v>
      </c>
      <c r="H239" s="140">
        <v>30</v>
      </c>
      <c r="I239" s="140">
        <v>26.019970000000001</v>
      </c>
      <c r="J239" s="140">
        <v>81.971829999999997</v>
      </c>
      <c r="K239" s="140">
        <v>1102.2346400000001</v>
      </c>
      <c r="L239" s="140">
        <v>1370.1717200000001</v>
      </c>
      <c r="M239" s="143"/>
      <c r="N239" s="143"/>
      <c r="O239" s="623" t="e">
        <f t="shared" si="16"/>
        <v>#DIV/0!</v>
      </c>
      <c r="P239" s="140"/>
    </row>
    <row r="240" spans="1:16" s="382" customFormat="1" ht="29.45" customHeight="1">
      <c r="A240" s="138" t="s">
        <v>2009</v>
      </c>
      <c r="B240" s="137" t="s">
        <v>3805</v>
      </c>
      <c r="C240" s="138" t="s">
        <v>3806</v>
      </c>
      <c r="D240" s="138" t="s">
        <v>1156</v>
      </c>
      <c r="E240" s="138" t="s">
        <v>1571</v>
      </c>
      <c r="F240" s="420">
        <v>43100</v>
      </c>
      <c r="G240" s="141">
        <v>4635.6329700000006</v>
      </c>
      <c r="H240" s="141">
        <v>33</v>
      </c>
      <c r="I240" s="141">
        <v>-133.65931</v>
      </c>
      <c r="J240" s="141">
        <v>189.24549999999999</v>
      </c>
      <c r="K240" s="141">
        <v>1161.1471000000001</v>
      </c>
      <c r="L240" s="141">
        <v>1236.8253500000001</v>
      </c>
      <c r="M240" s="141">
        <v>4</v>
      </c>
      <c r="N240" s="141">
        <v>29</v>
      </c>
      <c r="O240" s="623">
        <f t="shared" si="16"/>
        <v>0.12121212121212122</v>
      </c>
      <c r="P240" s="140">
        <f>O240*K240</f>
        <v>140.74510303030306</v>
      </c>
    </row>
    <row r="241" spans="1:16" s="382" customFormat="1" ht="17.100000000000001" customHeight="1">
      <c r="A241" s="136" t="s">
        <v>2011</v>
      </c>
      <c r="B241" s="135" t="s">
        <v>2134</v>
      </c>
      <c r="C241" s="136" t="s">
        <v>1328</v>
      </c>
      <c r="D241" s="136" t="s">
        <v>1320</v>
      </c>
      <c r="E241" s="136" t="s">
        <v>1571</v>
      </c>
      <c r="F241" s="419">
        <v>43100</v>
      </c>
      <c r="G241" s="140">
        <v>4526.7970000000005</v>
      </c>
      <c r="H241" s="140">
        <v>21</v>
      </c>
      <c r="I241" s="140">
        <v>-26.841000000000001</v>
      </c>
      <c r="J241" s="140">
        <v>-206.04400000000001</v>
      </c>
      <c r="K241" s="140">
        <v>802.32799999999997</v>
      </c>
      <c r="L241" s="140">
        <v>669.13499999999999</v>
      </c>
      <c r="M241" s="143"/>
      <c r="N241" s="143"/>
      <c r="O241" s="623" t="e">
        <f t="shared" si="16"/>
        <v>#DIV/0!</v>
      </c>
      <c r="P241" s="140"/>
    </row>
    <row r="242" spans="1:16" s="382" customFormat="1" ht="43.15" customHeight="1">
      <c r="A242" s="138" t="s">
        <v>2013</v>
      </c>
      <c r="B242" s="137" t="s">
        <v>3807</v>
      </c>
      <c r="C242" s="138" t="s">
        <v>3808</v>
      </c>
      <c r="D242" s="138" t="s">
        <v>1279</v>
      </c>
      <c r="E242" s="138" t="s">
        <v>1571</v>
      </c>
      <c r="F242" s="420">
        <v>43100</v>
      </c>
      <c r="G242" s="141">
        <v>4505</v>
      </c>
      <c r="H242" s="141">
        <v>46</v>
      </c>
      <c r="I242" s="142" t="s">
        <v>189</v>
      </c>
      <c r="J242" s="141">
        <v>-232</v>
      </c>
      <c r="K242" s="141">
        <v>3615</v>
      </c>
      <c r="L242" s="141">
        <v>3534</v>
      </c>
      <c r="M242" s="142"/>
      <c r="N242" s="142"/>
      <c r="O242" s="623" t="e">
        <f t="shared" si="16"/>
        <v>#DIV/0!</v>
      </c>
      <c r="P242" s="140"/>
    </row>
    <row r="243" spans="1:16" s="382" customFormat="1" ht="29.45" customHeight="1">
      <c r="A243" s="136" t="s">
        <v>2015</v>
      </c>
      <c r="B243" s="135" t="s">
        <v>3809</v>
      </c>
      <c r="C243" s="136" t="s">
        <v>3810</v>
      </c>
      <c r="D243" s="136" t="s">
        <v>811</v>
      </c>
      <c r="E243" s="136" t="s">
        <v>1571</v>
      </c>
      <c r="F243" s="419">
        <v>43100</v>
      </c>
      <c r="G243" s="140">
        <v>4370.4153900000001</v>
      </c>
      <c r="H243" s="140">
        <v>18</v>
      </c>
      <c r="I243" s="140">
        <v>7.1917900000000001</v>
      </c>
      <c r="J243" s="140">
        <v>22.64902</v>
      </c>
      <c r="K243" s="140">
        <v>669.80659000000003</v>
      </c>
      <c r="L243" s="140">
        <v>716.57361000000003</v>
      </c>
      <c r="M243" s="143"/>
      <c r="N243" s="143"/>
      <c r="O243" s="623" t="e">
        <f t="shared" si="16"/>
        <v>#DIV/0!</v>
      </c>
      <c r="P243" s="140"/>
    </row>
    <row r="244" spans="1:16" s="382" customFormat="1" ht="29.45" customHeight="1">
      <c r="A244" s="138" t="s">
        <v>2017</v>
      </c>
      <c r="B244" s="137" t="s">
        <v>2146</v>
      </c>
      <c r="C244" s="138" t="s">
        <v>593</v>
      </c>
      <c r="D244" s="138" t="s">
        <v>596</v>
      </c>
      <c r="E244" s="138" t="s">
        <v>1571</v>
      </c>
      <c r="F244" s="420">
        <v>43100</v>
      </c>
      <c r="G244" s="141">
        <v>4326.68</v>
      </c>
      <c r="H244" s="141">
        <v>21</v>
      </c>
      <c r="I244" s="141">
        <v>68.472999999999999</v>
      </c>
      <c r="J244" s="141">
        <v>335.298</v>
      </c>
      <c r="K244" s="141">
        <v>903.197</v>
      </c>
      <c r="L244" s="141">
        <v>1402.9670000000001</v>
      </c>
      <c r="M244" s="142"/>
      <c r="N244" s="142"/>
      <c r="O244" s="623" t="e">
        <f t="shared" si="16"/>
        <v>#DIV/0!</v>
      </c>
      <c r="P244" s="140"/>
    </row>
    <row r="245" spans="1:16" s="382" customFormat="1" ht="29.45" customHeight="1">
      <c r="A245" s="136" t="s">
        <v>2019</v>
      </c>
      <c r="B245" s="135" t="s">
        <v>3811</v>
      </c>
      <c r="C245" s="136" t="s">
        <v>3812</v>
      </c>
      <c r="D245" s="136" t="s">
        <v>811</v>
      </c>
      <c r="E245" s="136" t="s">
        <v>1571</v>
      </c>
      <c r="F245" s="419">
        <v>43100</v>
      </c>
      <c r="G245" s="140">
        <v>4209</v>
      </c>
      <c r="H245" s="140">
        <v>30</v>
      </c>
      <c r="I245" s="140">
        <v>79</v>
      </c>
      <c r="J245" s="140">
        <v>598</v>
      </c>
      <c r="K245" s="140">
        <v>1662</v>
      </c>
      <c r="L245" s="140">
        <v>2644</v>
      </c>
      <c r="M245" s="140">
        <v>22.29</v>
      </c>
      <c r="N245" s="140">
        <v>9.51</v>
      </c>
      <c r="O245" s="623">
        <f t="shared" si="16"/>
        <v>0.70094339622641511</v>
      </c>
      <c r="P245" s="140">
        <f>O245*K245</f>
        <v>1164.9679245283019</v>
      </c>
    </row>
    <row r="246" spans="1:16" s="382" customFormat="1" ht="17.100000000000001" customHeight="1">
      <c r="A246" s="138" t="s">
        <v>2021</v>
      </c>
      <c r="B246" s="137" t="s">
        <v>3813</v>
      </c>
      <c r="C246" s="138" t="s">
        <v>3814</v>
      </c>
      <c r="D246" s="138" t="s">
        <v>785</v>
      </c>
      <c r="E246" s="138" t="s">
        <v>1571</v>
      </c>
      <c r="F246" s="420">
        <v>43100</v>
      </c>
      <c r="G246" s="141">
        <v>4187.3404499999997</v>
      </c>
      <c r="H246" s="141">
        <v>40</v>
      </c>
      <c r="I246" s="141">
        <v>-134.67482999999999</v>
      </c>
      <c r="J246" s="141">
        <v>-206.16383999999999</v>
      </c>
      <c r="K246" s="141">
        <v>1655.1288400000001</v>
      </c>
      <c r="L246" s="141">
        <v>1511.15435</v>
      </c>
      <c r="M246" s="142"/>
      <c r="N246" s="142"/>
      <c r="O246" s="623" t="e">
        <f t="shared" si="16"/>
        <v>#DIV/0!</v>
      </c>
      <c r="P246" s="140"/>
    </row>
    <row r="247" spans="1:16" s="382" customFormat="1" ht="17.100000000000001" customHeight="1">
      <c r="A247" s="136" t="s">
        <v>2023</v>
      </c>
      <c r="B247" s="135" t="s">
        <v>2160</v>
      </c>
      <c r="C247" s="136" t="s">
        <v>1351</v>
      </c>
      <c r="D247" s="136" t="s">
        <v>1341</v>
      </c>
      <c r="E247" s="136" t="s">
        <v>1571</v>
      </c>
      <c r="F247" s="419">
        <v>43100</v>
      </c>
      <c r="G247" s="140">
        <v>4186.73668</v>
      </c>
      <c r="H247" s="140">
        <v>12</v>
      </c>
      <c r="I247" s="140">
        <v>49.146510000000006</v>
      </c>
      <c r="J247" s="140">
        <v>160.70714000000001</v>
      </c>
      <c r="K247" s="140">
        <v>815.50727999999992</v>
      </c>
      <c r="L247" s="140">
        <v>1100.7321800000002</v>
      </c>
      <c r="M247" s="140">
        <v>5</v>
      </c>
      <c r="N247" s="140">
        <v>9</v>
      </c>
      <c r="O247" s="623">
        <f t="shared" si="16"/>
        <v>0.35714285714285715</v>
      </c>
      <c r="P247" s="140">
        <f>O247*K247</f>
        <v>291.25259999999997</v>
      </c>
    </row>
    <row r="248" spans="1:16" s="382" customFormat="1" ht="17.100000000000001" customHeight="1">
      <c r="A248" s="138" t="s">
        <v>2025</v>
      </c>
      <c r="B248" s="137" t="s">
        <v>3815</v>
      </c>
      <c r="C248" s="138" t="s">
        <v>3816</v>
      </c>
      <c r="D248" s="138" t="s">
        <v>1825</v>
      </c>
      <c r="E248" s="138" t="s">
        <v>1571</v>
      </c>
      <c r="F248" s="420">
        <v>43100</v>
      </c>
      <c r="G248" s="141">
        <v>4184.0589300000001</v>
      </c>
      <c r="H248" s="141">
        <v>22</v>
      </c>
      <c r="I248" s="142" t="s">
        <v>189</v>
      </c>
      <c r="J248" s="141">
        <v>193.83976000000001</v>
      </c>
      <c r="K248" s="141">
        <v>1005.72441</v>
      </c>
      <c r="L248" s="141">
        <v>1262.7337</v>
      </c>
      <c r="M248" s="142"/>
      <c r="N248" s="142"/>
      <c r="O248" s="623" t="e">
        <f t="shared" si="16"/>
        <v>#DIV/0!</v>
      </c>
      <c r="P248" s="140"/>
    </row>
    <row r="249" spans="1:16" s="382" customFormat="1" ht="17.100000000000001" customHeight="1">
      <c r="A249" s="136" t="s">
        <v>2027</v>
      </c>
      <c r="B249" s="135" t="s">
        <v>2162</v>
      </c>
      <c r="C249" s="136" t="s">
        <v>1359</v>
      </c>
      <c r="D249" s="136" t="s">
        <v>1343</v>
      </c>
      <c r="E249" s="136" t="s">
        <v>1571</v>
      </c>
      <c r="F249" s="419">
        <v>43100</v>
      </c>
      <c r="G249" s="140">
        <v>4099.2858499999993</v>
      </c>
      <c r="H249" s="140">
        <v>41</v>
      </c>
      <c r="I249" s="140">
        <v>-141.50332999999998</v>
      </c>
      <c r="J249" s="140">
        <v>699.00188000000003</v>
      </c>
      <c r="K249" s="140">
        <v>1771.2548999999999</v>
      </c>
      <c r="L249" s="140">
        <v>2679.0061000000001</v>
      </c>
      <c r="M249" s="140">
        <v>5</v>
      </c>
      <c r="N249" s="140">
        <v>37</v>
      </c>
      <c r="O249" s="623">
        <f t="shared" si="16"/>
        <v>0.11904761904761904</v>
      </c>
      <c r="P249" s="140">
        <f>O249*K249</f>
        <v>210.86367857142855</v>
      </c>
    </row>
    <row r="250" spans="1:16" s="382" customFormat="1" ht="17.100000000000001" customHeight="1">
      <c r="A250" s="138" t="s">
        <v>2029</v>
      </c>
      <c r="B250" s="137" t="s">
        <v>3817</v>
      </c>
      <c r="C250" s="138" t="s">
        <v>3818</v>
      </c>
      <c r="D250" s="138" t="s">
        <v>1145</v>
      </c>
      <c r="E250" s="138" t="s">
        <v>1571</v>
      </c>
      <c r="F250" s="420">
        <v>43100</v>
      </c>
      <c r="G250" s="141">
        <v>3934.2896900000001</v>
      </c>
      <c r="H250" s="141">
        <v>40</v>
      </c>
      <c r="I250" s="141">
        <v>5.4274699999999996</v>
      </c>
      <c r="J250" s="141">
        <v>-3.8896300000000004</v>
      </c>
      <c r="K250" s="141">
        <v>1463.4446600000001</v>
      </c>
      <c r="L250" s="141">
        <v>2199.1361299999999</v>
      </c>
      <c r="M250" s="141">
        <v>6</v>
      </c>
      <c r="N250" s="141">
        <v>33</v>
      </c>
      <c r="O250" s="623">
        <f t="shared" si="16"/>
        <v>0.15384615384615385</v>
      </c>
      <c r="P250" s="140">
        <f>O250*K250</f>
        <v>225.14533230769234</v>
      </c>
    </row>
    <row r="251" spans="1:16" s="382" customFormat="1" ht="29.45" customHeight="1">
      <c r="A251" s="136" t="s">
        <v>2031</v>
      </c>
      <c r="B251" s="135" t="s">
        <v>3819</v>
      </c>
      <c r="C251" s="136" t="s">
        <v>3820</v>
      </c>
      <c r="D251" s="136" t="s">
        <v>596</v>
      </c>
      <c r="E251" s="136" t="s">
        <v>1571</v>
      </c>
      <c r="F251" s="419">
        <v>43100</v>
      </c>
      <c r="G251" s="140">
        <v>3797.6370200000001</v>
      </c>
      <c r="H251" s="140">
        <v>7</v>
      </c>
      <c r="I251" s="140">
        <v>6.1060200000000009</v>
      </c>
      <c r="J251" s="140">
        <v>15.70119</v>
      </c>
      <c r="K251" s="140">
        <v>296.29426000000001</v>
      </c>
      <c r="L251" s="140">
        <v>379.85771000000005</v>
      </c>
      <c r="M251" s="143"/>
      <c r="N251" s="143"/>
      <c r="O251" s="623" t="e">
        <f t="shared" si="16"/>
        <v>#DIV/0!</v>
      </c>
      <c r="P251" s="140"/>
    </row>
    <row r="252" spans="1:16" s="382" customFormat="1" ht="29.45" customHeight="1">
      <c r="A252" s="138" t="s">
        <v>2033</v>
      </c>
      <c r="B252" s="139" t="s">
        <v>3821</v>
      </c>
      <c r="C252" s="138" t="s">
        <v>3822</v>
      </c>
      <c r="D252" s="138" t="s">
        <v>3823</v>
      </c>
      <c r="E252" s="138" t="s">
        <v>1571</v>
      </c>
      <c r="F252" s="420">
        <v>42004</v>
      </c>
      <c r="G252" s="141">
        <v>3753.1970000000001</v>
      </c>
      <c r="H252" s="141">
        <v>49</v>
      </c>
      <c r="I252" s="141">
        <v>-287.70600000000002</v>
      </c>
      <c r="J252" s="141">
        <v>-739.81600000000003</v>
      </c>
      <c r="K252" s="141">
        <v>2088.1730000000002</v>
      </c>
      <c r="L252" s="141">
        <v>1289.29</v>
      </c>
      <c r="M252" s="141">
        <v>17</v>
      </c>
      <c r="N252" s="141">
        <v>28</v>
      </c>
      <c r="O252" s="623">
        <f t="shared" si="16"/>
        <v>0.37777777777777777</v>
      </c>
      <c r="P252" s="140">
        <f>O252*K252</f>
        <v>788.86535555555565</v>
      </c>
    </row>
    <row r="253" spans="1:16" s="382" customFormat="1" ht="29.45" customHeight="1">
      <c r="A253" s="136" t="s">
        <v>2035</v>
      </c>
      <c r="B253" s="135" t="s">
        <v>3824</v>
      </c>
      <c r="C253" s="136" t="s">
        <v>3825</v>
      </c>
      <c r="D253" s="136" t="s">
        <v>1156</v>
      </c>
      <c r="E253" s="136" t="s">
        <v>1571</v>
      </c>
      <c r="F253" s="419">
        <v>42735</v>
      </c>
      <c r="G253" s="140">
        <v>3736.6240000000003</v>
      </c>
      <c r="H253" s="140">
        <v>25</v>
      </c>
      <c r="I253" s="140">
        <v>59.570999999999998</v>
      </c>
      <c r="J253" s="140">
        <v>188.64000000000001</v>
      </c>
      <c r="K253" s="140">
        <v>217.995</v>
      </c>
      <c r="L253" s="140">
        <v>589.42600000000004</v>
      </c>
      <c r="M253" s="140">
        <v>7</v>
      </c>
      <c r="N253" s="140">
        <v>18</v>
      </c>
      <c r="O253" s="623">
        <f t="shared" si="16"/>
        <v>0.28000000000000003</v>
      </c>
      <c r="P253" s="140">
        <f>O253*K253</f>
        <v>61.03860000000001</v>
      </c>
    </row>
    <row r="254" spans="1:16" s="382" customFormat="1" ht="29.45" customHeight="1">
      <c r="A254" s="138" t="s">
        <v>2037</v>
      </c>
      <c r="B254" s="139" t="s">
        <v>3826</v>
      </c>
      <c r="C254" s="138" t="s">
        <v>3827</v>
      </c>
      <c r="D254" s="138" t="s">
        <v>596</v>
      </c>
      <c r="E254" s="138" t="s">
        <v>1571</v>
      </c>
      <c r="F254" s="420">
        <v>43100</v>
      </c>
      <c r="G254" s="141">
        <v>3727.1018199999999</v>
      </c>
      <c r="H254" s="141">
        <v>33</v>
      </c>
      <c r="I254" s="142" t="s">
        <v>189</v>
      </c>
      <c r="J254" s="141">
        <v>-142.94902999999999</v>
      </c>
      <c r="K254" s="141">
        <v>1177.5430000000001</v>
      </c>
      <c r="L254" s="141">
        <v>1145.6115600000001</v>
      </c>
      <c r="M254" s="142"/>
      <c r="N254" s="142"/>
      <c r="O254" s="623" t="e">
        <f t="shared" si="16"/>
        <v>#DIV/0!</v>
      </c>
      <c r="P254" s="140"/>
    </row>
    <row r="255" spans="1:16" s="382" customFormat="1" ht="17.100000000000001" customHeight="1">
      <c r="A255" s="136" t="s">
        <v>2039</v>
      </c>
      <c r="B255" s="135" t="s">
        <v>2202</v>
      </c>
      <c r="C255" s="136" t="s">
        <v>1506</v>
      </c>
      <c r="D255" s="136" t="s">
        <v>1501</v>
      </c>
      <c r="E255" s="136" t="s">
        <v>1571</v>
      </c>
      <c r="F255" s="419">
        <v>43100</v>
      </c>
      <c r="G255" s="140">
        <v>3701.6892200000002</v>
      </c>
      <c r="H255" s="143" t="s">
        <v>189</v>
      </c>
      <c r="I255" s="140">
        <v>-210.58179000000001</v>
      </c>
      <c r="J255" s="140">
        <v>54.602350000000008</v>
      </c>
      <c r="K255" s="140">
        <v>1326.9523600000002</v>
      </c>
      <c r="L255" s="140">
        <v>1418.93163</v>
      </c>
      <c r="M255" s="143"/>
      <c r="N255" s="143"/>
      <c r="O255" s="623" t="e">
        <f t="shared" si="16"/>
        <v>#DIV/0!</v>
      </c>
      <c r="P255" s="140"/>
    </row>
    <row r="256" spans="1:16" s="382" customFormat="1" ht="17.100000000000001" customHeight="1">
      <c r="A256" s="138" t="s">
        <v>2041</v>
      </c>
      <c r="B256" s="137" t="s">
        <v>3828</v>
      </c>
      <c r="C256" s="138" t="s">
        <v>3829</v>
      </c>
      <c r="D256" s="138" t="s">
        <v>1456</v>
      </c>
      <c r="E256" s="138" t="s">
        <v>1571</v>
      </c>
      <c r="F256" s="420">
        <v>43100</v>
      </c>
      <c r="G256" s="141">
        <v>3683.4121</v>
      </c>
      <c r="H256" s="141">
        <v>4</v>
      </c>
      <c r="I256" s="141">
        <v>42.063960000000002</v>
      </c>
      <c r="J256" s="141">
        <v>133.20256000000001</v>
      </c>
      <c r="K256" s="141">
        <v>251.94816</v>
      </c>
      <c r="L256" s="141">
        <v>434.21863900000005</v>
      </c>
      <c r="M256" s="142"/>
      <c r="N256" s="142"/>
      <c r="O256" s="623" t="e">
        <f t="shared" si="16"/>
        <v>#DIV/0!</v>
      </c>
      <c r="P256" s="140"/>
    </row>
    <row r="257" spans="1:16" s="382" customFormat="1" ht="29.45" customHeight="1">
      <c r="A257" s="136" t="s">
        <v>2043</v>
      </c>
      <c r="B257" s="135" t="s">
        <v>3830</v>
      </c>
      <c r="C257" s="136" t="s">
        <v>3831</v>
      </c>
      <c r="D257" s="136" t="s">
        <v>596</v>
      </c>
      <c r="E257" s="136" t="s">
        <v>1571</v>
      </c>
      <c r="F257" s="419">
        <v>43100</v>
      </c>
      <c r="G257" s="140">
        <v>3682.8382700000002</v>
      </c>
      <c r="H257" s="140">
        <v>25</v>
      </c>
      <c r="I257" s="140">
        <v>-116.29402</v>
      </c>
      <c r="J257" s="140">
        <v>-368.26441000000005</v>
      </c>
      <c r="K257" s="140">
        <v>1043.3247200000001</v>
      </c>
      <c r="L257" s="140">
        <v>1048.1313200000002</v>
      </c>
      <c r="M257" s="140">
        <v>9</v>
      </c>
      <c r="N257" s="140">
        <v>15</v>
      </c>
      <c r="O257" s="623">
        <f t="shared" si="16"/>
        <v>0.375</v>
      </c>
      <c r="P257" s="140">
        <f>O257*K257</f>
        <v>391.24677000000003</v>
      </c>
    </row>
    <row r="258" spans="1:16" s="382" customFormat="1" ht="29.45" customHeight="1">
      <c r="A258" s="138" t="s">
        <v>2045</v>
      </c>
      <c r="B258" s="137" t="s">
        <v>3832</v>
      </c>
      <c r="C258" s="138" t="s">
        <v>3833</v>
      </c>
      <c r="D258" s="138" t="s">
        <v>596</v>
      </c>
      <c r="E258" s="138" t="s">
        <v>1571</v>
      </c>
      <c r="F258" s="420">
        <v>43100</v>
      </c>
      <c r="G258" s="141">
        <v>3653</v>
      </c>
      <c r="H258" s="141">
        <v>32</v>
      </c>
      <c r="I258" s="141">
        <v>115</v>
      </c>
      <c r="J258" s="141">
        <v>298</v>
      </c>
      <c r="K258" s="141">
        <v>1541</v>
      </c>
      <c r="L258" s="141">
        <v>2015</v>
      </c>
      <c r="M258" s="142"/>
      <c r="N258" s="142"/>
      <c r="O258" s="623" t="e">
        <f t="shared" si="16"/>
        <v>#DIV/0!</v>
      </c>
      <c r="P258" s="140"/>
    </row>
    <row r="259" spans="1:16" s="382" customFormat="1" ht="43.15" customHeight="1">
      <c r="A259" s="136" t="s">
        <v>2047</v>
      </c>
      <c r="B259" s="135" t="s">
        <v>3834</v>
      </c>
      <c r="C259" s="136" t="s">
        <v>3835</v>
      </c>
      <c r="D259" s="136" t="s">
        <v>3569</v>
      </c>
      <c r="E259" s="136" t="s">
        <v>1571</v>
      </c>
      <c r="F259" s="419">
        <v>43100</v>
      </c>
      <c r="G259" s="140">
        <v>3570.2256900000002</v>
      </c>
      <c r="H259" s="140">
        <v>80</v>
      </c>
      <c r="I259" s="140">
        <v>44.20478</v>
      </c>
      <c r="J259" s="140">
        <v>139.98179000000002</v>
      </c>
      <c r="K259" s="140">
        <v>2363.9857600000005</v>
      </c>
      <c r="L259" s="140">
        <v>2576.9574189999998</v>
      </c>
      <c r="M259" s="143"/>
      <c r="N259" s="140">
        <v>10</v>
      </c>
      <c r="O259" s="623">
        <f t="shared" si="16"/>
        <v>0</v>
      </c>
      <c r="P259" s="140">
        <f>O259*K259</f>
        <v>0</v>
      </c>
    </row>
    <row r="260" spans="1:16" s="382" customFormat="1" ht="17.100000000000001" customHeight="1">
      <c r="A260" s="138" t="s">
        <v>2049</v>
      </c>
      <c r="B260" s="137" t="s">
        <v>3836</v>
      </c>
      <c r="C260" s="138" t="s">
        <v>3837</v>
      </c>
      <c r="D260" s="138" t="s">
        <v>1023</v>
      </c>
      <c r="E260" s="138" t="s">
        <v>1571</v>
      </c>
      <c r="F260" s="420">
        <v>43100</v>
      </c>
      <c r="G260" s="141">
        <v>3514.5176700000002</v>
      </c>
      <c r="H260" s="141">
        <v>22</v>
      </c>
      <c r="I260" s="141">
        <v>33.373879000000002</v>
      </c>
      <c r="J260" s="141">
        <v>240.78836999999999</v>
      </c>
      <c r="K260" s="141">
        <v>881.47953000000007</v>
      </c>
      <c r="L260" s="141">
        <v>1358.7619590000002</v>
      </c>
      <c r="M260" s="142"/>
      <c r="N260" s="142"/>
      <c r="O260" s="623" t="e">
        <f t="shared" si="16"/>
        <v>#DIV/0!</v>
      </c>
      <c r="P260" s="140"/>
    </row>
    <row r="261" spans="1:16" s="382" customFormat="1" ht="43.15" customHeight="1">
      <c r="A261" s="136" t="s">
        <v>2051</v>
      </c>
      <c r="B261" s="135" t="s">
        <v>3838</v>
      </c>
      <c r="C261" s="136" t="s">
        <v>3839</v>
      </c>
      <c r="D261" s="136" t="s">
        <v>1456</v>
      </c>
      <c r="E261" s="136" t="s">
        <v>1571</v>
      </c>
      <c r="F261" s="419">
        <v>43100</v>
      </c>
      <c r="G261" s="140">
        <v>3512.1082600000004</v>
      </c>
      <c r="H261" s="140">
        <v>20</v>
      </c>
      <c r="I261" s="140">
        <v>0.41619</v>
      </c>
      <c r="J261" s="140">
        <v>408.57149000000004</v>
      </c>
      <c r="K261" s="140">
        <v>948.13198999999997</v>
      </c>
      <c r="L261" s="140">
        <v>1441.93091</v>
      </c>
      <c r="M261" s="140">
        <v>9</v>
      </c>
      <c r="N261" s="140">
        <v>13</v>
      </c>
      <c r="O261" s="623">
        <f t="shared" si="16"/>
        <v>0.40909090909090912</v>
      </c>
      <c r="P261" s="140">
        <f>O261*K261</f>
        <v>387.87217772727274</v>
      </c>
    </row>
    <row r="262" spans="1:16" s="382" customFormat="1" ht="43.15" customHeight="1">
      <c r="A262" s="138" t="s">
        <v>2053</v>
      </c>
      <c r="B262" s="137" t="s">
        <v>3840</v>
      </c>
      <c r="C262" s="138" t="s">
        <v>3841</v>
      </c>
      <c r="D262" s="138" t="s">
        <v>1474</v>
      </c>
      <c r="E262" s="138" t="s">
        <v>1571</v>
      </c>
      <c r="F262" s="420">
        <v>43100</v>
      </c>
      <c r="G262" s="141">
        <v>3412.7375000000002</v>
      </c>
      <c r="H262" s="141">
        <v>82</v>
      </c>
      <c r="I262" s="141">
        <v>29.847920000000002</v>
      </c>
      <c r="J262" s="141">
        <v>163.96973000000003</v>
      </c>
      <c r="K262" s="141">
        <v>2173.7740800000001</v>
      </c>
      <c r="L262" s="141">
        <v>2619.8823600000001</v>
      </c>
      <c r="M262" s="142"/>
      <c r="N262" s="142"/>
      <c r="O262" s="623" t="e">
        <f t="shared" si="16"/>
        <v>#DIV/0!</v>
      </c>
      <c r="P262" s="140"/>
    </row>
    <row r="263" spans="1:16" s="382" customFormat="1" ht="29.45" customHeight="1">
      <c r="A263" s="136" t="s">
        <v>2055</v>
      </c>
      <c r="B263" s="135" t="s">
        <v>3842</v>
      </c>
      <c r="C263" s="136" t="s">
        <v>3843</v>
      </c>
      <c r="D263" s="136" t="s">
        <v>975</v>
      </c>
      <c r="E263" s="136" t="s">
        <v>1571</v>
      </c>
      <c r="F263" s="419">
        <v>43100</v>
      </c>
      <c r="G263" s="140">
        <v>3405.2925600000003</v>
      </c>
      <c r="H263" s="140">
        <v>14</v>
      </c>
      <c r="I263" s="140">
        <v>5.46671</v>
      </c>
      <c r="J263" s="140">
        <v>-96.103750000000005</v>
      </c>
      <c r="K263" s="140">
        <v>587.18095000000005</v>
      </c>
      <c r="L263" s="140">
        <v>556.07463000000007</v>
      </c>
      <c r="M263" s="143"/>
      <c r="N263" s="143"/>
      <c r="O263" s="623" t="e">
        <f t="shared" si="16"/>
        <v>#DIV/0!</v>
      </c>
      <c r="P263" s="140"/>
    </row>
    <row r="264" spans="1:16" s="382" customFormat="1" ht="29.45" customHeight="1">
      <c r="A264" s="138" t="s">
        <v>2057</v>
      </c>
      <c r="B264" s="137" t="s">
        <v>3844</v>
      </c>
      <c r="C264" s="138" t="s">
        <v>3845</v>
      </c>
      <c r="D264" s="138" t="s">
        <v>1474</v>
      </c>
      <c r="E264" s="138" t="s">
        <v>1571</v>
      </c>
      <c r="F264" s="420">
        <v>43100</v>
      </c>
      <c r="G264" s="141">
        <v>3364.6918099999998</v>
      </c>
      <c r="H264" s="141">
        <v>53</v>
      </c>
      <c r="I264" s="142" t="s">
        <v>189</v>
      </c>
      <c r="J264" s="141">
        <v>3.7160500000000001</v>
      </c>
      <c r="K264" s="141">
        <v>1453.40056</v>
      </c>
      <c r="L264" s="141">
        <v>1475.29901</v>
      </c>
      <c r="M264" s="142"/>
      <c r="N264" s="142"/>
      <c r="O264" s="623" t="e">
        <f t="shared" si="16"/>
        <v>#DIV/0!</v>
      </c>
      <c r="P264" s="140"/>
    </row>
    <row r="265" spans="1:16" s="382" customFormat="1" ht="17.100000000000001" customHeight="1">
      <c r="A265" s="136" t="s">
        <v>2059</v>
      </c>
      <c r="B265" s="135" t="s">
        <v>3846</v>
      </c>
      <c r="C265" s="136" t="s">
        <v>3847</v>
      </c>
      <c r="D265" s="136" t="s">
        <v>811</v>
      </c>
      <c r="E265" s="136" t="s">
        <v>1571</v>
      </c>
      <c r="F265" s="419">
        <v>43100</v>
      </c>
      <c r="G265" s="140">
        <v>3315</v>
      </c>
      <c r="H265" s="140">
        <v>17</v>
      </c>
      <c r="I265" s="140">
        <v>118</v>
      </c>
      <c r="J265" s="140">
        <v>304</v>
      </c>
      <c r="K265" s="140">
        <v>1312</v>
      </c>
      <c r="L265" s="140">
        <v>1746</v>
      </c>
      <c r="M265" s="140">
        <v>14</v>
      </c>
      <c r="N265" s="140">
        <v>4</v>
      </c>
      <c r="O265" s="623">
        <f t="shared" si="16"/>
        <v>0.77777777777777779</v>
      </c>
      <c r="P265" s="140">
        <f>O265*K265</f>
        <v>1020.4444444444445</v>
      </c>
    </row>
    <row r="266" spans="1:16" s="382" customFormat="1" ht="17.100000000000001" customHeight="1">
      <c r="A266" s="138" t="s">
        <v>2061</v>
      </c>
      <c r="B266" s="137" t="s">
        <v>3848</v>
      </c>
      <c r="C266" s="138" t="s">
        <v>3849</v>
      </c>
      <c r="D266" s="138" t="s">
        <v>1225</v>
      </c>
      <c r="E266" s="138" t="s">
        <v>1571</v>
      </c>
      <c r="F266" s="420">
        <v>43100</v>
      </c>
      <c r="G266" s="141">
        <v>3230.4226200000003</v>
      </c>
      <c r="H266" s="141">
        <v>30</v>
      </c>
      <c r="I266" s="142" t="s">
        <v>189</v>
      </c>
      <c r="J266" s="141">
        <v>-319.68210999999997</v>
      </c>
      <c r="K266" s="141">
        <v>1013.6561</v>
      </c>
      <c r="L266" s="141">
        <v>789.73609999999996</v>
      </c>
      <c r="M266" s="142"/>
      <c r="N266" s="142"/>
      <c r="O266" s="623" t="e">
        <f t="shared" si="16"/>
        <v>#DIV/0!</v>
      </c>
      <c r="P266" s="140"/>
    </row>
    <row r="267" spans="1:16" s="382" customFormat="1" ht="29.45" customHeight="1">
      <c r="A267" s="136" t="s">
        <v>2064</v>
      </c>
      <c r="B267" s="135" t="s">
        <v>2244</v>
      </c>
      <c r="C267" s="136" t="s">
        <v>1071</v>
      </c>
      <c r="D267" s="136" t="s">
        <v>969</v>
      </c>
      <c r="E267" s="136" t="s">
        <v>1571</v>
      </c>
      <c r="F267" s="419">
        <v>43100</v>
      </c>
      <c r="G267" s="140">
        <v>3175.3103499999997</v>
      </c>
      <c r="H267" s="140">
        <v>24</v>
      </c>
      <c r="I267" s="140">
        <v>-5.8091600000000012</v>
      </c>
      <c r="J267" s="140">
        <v>5.0041000000000002</v>
      </c>
      <c r="K267" s="140">
        <v>1010.0321600000001</v>
      </c>
      <c r="L267" s="140">
        <v>1189.25757</v>
      </c>
      <c r="M267" s="143"/>
      <c r="N267" s="143"/>
      <c r="O267" s="623" t="e">
        <f t="shared" si="16"/>
        <v>#DIV/0!</v>
      </c>
      <c r="P267" s="140"/>
    </row>
    <row r="268" spans="1:16" s="382" customFormat="1" ht="29.45" customHeight="1">
      <c r="A268" s="138" t="s">
        <v>2066</v>
      </c>
      <c r="B268" s="137" t="s">
        <v>3850</v>
      </c>
      <c r="C268" s="138" t="s">
        <v>3851</v>
      </c>
      <c r="D268" s="138" t="s">
        <v>1266</v>
      </c>
      <c r="E268" s="138" t="s">
        <v>1571</v>
      </c>
      <c r="F268" s="420">
        <v>43100</v>
      </c>
      <c r="G268" s="141">
        <v>3165.4525600000002</v>
      </c>
      <c r="H268" s="141">
        <v>5</v>
      </c>
      <c r="I268" s="142" t="s">
        <v>189</v>
      </c>
      <c r="J268" s="141">
        <v>345.98415</v>
      </c>
      <c r="K268" s="141">
        <v>448.50647000000004</v>
      </c>
      <c r="L268" s="141">
        <v>930.07589000000007</v>
      </c>
      <c r="M268" s="141">
        <v>1</v>
      </c>
      <c r="N268" s="141">
        <v>4</v>
      </c>
      <c r="O268" s="623">
        <f t="shared" si="16"/>
        <v>0.2</v>
      </c>
      <c r="P268" s="140">
        <f>O268*K268</f>
        <v>89.701294000000019</v>
      </c>
    </row>
    <row r="269" spans="1:16" s="382" customFormat="1" ht="17.100000000000001" customHeight="1">
      <c r="A269" s="136" t="s">
        <v>2068</v>
      </c>
      <c r="B269" s="135" t="s">
        <v>2254</v>
      </c>
      <c r="C269" s="136" t="s">
        <v>1534</v>
      </c>
      <c r="D269" s="136" t="s">
        <v>1279</v>
      </c>
      <c r="E269" s="136" t="s">
        <v>1571</v>
      </c>
      <c r="F269" s="419">
        <v>43100</v>
      </c>
      <c r="G269" s="140">
        <v>3104.4774699999998</v>
      </c>
      <c r="H269" s="140">
        <v>22</v>
      </c>
      <c r="I269" s="140">
        <v>15.838649999999999</v>
      </c>
      <c r="J269" s="140">
        <v>61.125840000000004</v>
      </c>
      <c r="K269" s="140">
        <v>850.07647999999995</v>
      </c>
      <c r="L269" s="140">
        <v>986.86857999999995</v>
      </c>
      <c r="M269" s="140">
        <v>6</v>
      </c>
      <c r="N269" s="140">
        <v>17</v>
      </c>
      <c r="O269" s="623">
        <f t="shared" si="16"/>
        <v>0.2608695652173913</v>
      </c>
      <c r="P269" s="140">
        <f>O269*K269</f>
        <v>221.75908173913041</v>
      </c>
    </row>
    <row r="270" spans="1:16" s="382" customFormat="1" ht="17.100000000000001" customHeight="1">
      <c r="A270" s="138" t="s">
        <v>2070</v>
      </c>
      <c r="B270" s="137" t="s">
        <v>3852</v>
      </c>
      <c r="C270" s="138" t="s">
        <v>3853</v>
      </c>
      <c r="D270" s="138" t="s">
        <v>3854</v>
      </c>
      <c r="E270" s="138" t="s">
        <v>1571</v>
      </c>
      <c r="F270" s="420">
        <v>43100</v>
      </c>
      <c r="G270" s="141">
        <v>3094.0172299999999</v>
      </c>
      <c r="H270" s="141">
        <v>22</v>
      </c>
      <c r="I270" s="141">
        <v>34.965009999999999</v>
      </c>
      <c r="J270" s="141">
        <v>125.27565000000001</v>
      </c>
      <c r="K270" s="141">
        <v>764.45107999999993</v>
      </c>
      <c r="L270" s="141">
        <v>955.33372999999995</v>
      </c>
      <c r="M270" s="142"/>
      <c r="N270" s="142"/>
      <c r="O270" s="623" t="e">
        <f t="shared" si="16"/>
        <v>#DIV/0!</v>
      </c>
      <c r="P270" s="140"/>
    </row>
    <row r="271" spans="1:16" s="382" customFormat="1" ht="17.100000000000001" customHeight="1">
      <c r="A271" s="136" t="s">
        <v>2072</v>
      </c>
      <c r="B271" s="135" t="s">
        <v>3855</v>
      </c>
      <c r="C271" s="136" t="s">
        <v>3856</v>
      </c>
      <c r="D271" s="136" t="s">
        <v>811</v>
      </c>
      <c r="E271" s="136" t="s">
        <v>1571</v>
      </c>
      <c r="F271" s="419">
        <v>37621</v>
      </c>
      <c r="G271" s="140">
        <v>3052.1080000000002</v>
      </c>
      <c r="H271" s="143" t="s">
        <v>189</v>
      </c>
      <c r="I271" s="143" t="s">
        <v>189</v>
      </c>
      <c r="J271" s="143" t="s">
        <v>189</v>
      </c>
      <c r="K271" s="140">
        <v>2155.527</v>
      </c>
      <c r="L271" s="140">
        <v>2395.5590000000002</v>
      </c>
      <c r="M271" s="143"/>
      <c r="N271" s="143"/>
      <c r="O271" s="623" t="e">
        <f t="shared" si="16"/>
        <v>#DIV/0!</v>
      </c>
      <c r="P271" s="140"/>
    </row>
    <row r="272" spans="1:16" s="382" customFormat="1" ht="43.15" customHeight="1">
      <c r="A272" s="138" t="s">
        <v>2074</v>
      </c>
      <c r="B272" s="137" t="s">
        <v>2260</v>
      </c>
      <c r="C272" s="138" t="s">
        <v>1006</v>
      </c>
      <c r="D272" s="138" t="s">
        <v>975</v>
      </c>
      <c r="E272" s="138" t="s">
        <v>1571</v>
      </c>
      <c r="F272" s="420">
        <v>43100</v>
      </c>
      <c r="G272" s="141">
        <v>3041.8705500000001</v>
      </c>
      <c r="H272" s="141">
        <v>26</v>
      </c>
      <c r="I272" s="141">
        <v>6.4679799999999998</v>
      </c>
      <c r="J272" s="141">
        <v>12.599740000000002</v>
      </c>
      <c r="K272" s="141">
        <v>1031.97631</v>
      </c>
      <c r="L272" s="141">
        <v>1214.5967600000001</v>
      </c>
      <c r="M272" s="142"/>
      <c r="N272" s="142"/>
      <c r="O272" s="623" t="e">
        <f t="shared" si="16"/>
        <v>#DIV/0!</v>
      </c>
      <c r="P272" s="140"/>
    </row>
    <row r="273" spans="1:16" s="382" customFormat="1" ht="29.45" customHeight="1">
      <c r="A273" s="136" t="s">
        <v>2077</v>
      </c>
      <c r="B273" s="135" t="s">
        <v>3857</v>
      </c>
      <c r="C273" s="136" t="s">
        <v>3858</v>
      </c>
      <c r="D273" s="136" t="s">
        <v>1266</v>
      </c>
      <c r="E273" s="136" t="s">
        <v>1571</v>
      </c>
      <c r="F273" s="419">
        <v>43100</v>
      </c>
      <c r="G273" s="140">
        <v>3022.2506800000001</v>
      </c>
      <c r="H273" s="140">
        <v>7</v>
      </c>
      <c r="I273" s="140">
        <v>105.68984</v>
      </c>
      <c r="J273" s="140">
        <v>541.30316000000005</v>
      </c>
      <c r="K273" s="140">
        <v>295.33793000000009</v>
      </c>
      <c r="L273" s="140">
        <v>967.94948999999997</v>
      </c>
      <c r="M273" s="143"/>
      <c r="N273" s="143"/>
      <c r="O273" s="623" t="e">
        <f t="shared" si="16"/>
        <v>#DIV/0!</v>
      </c>
      <c r="P273" s="140"/>
    </row>
    <row r="274" spans="1:16" s="382" customFormat="1" ht="29.45" customHeight="1">
      <c r="A274" s="138" t="s">
        <v>2079</v>
      </c>
      <c r="B274" s="137" t="s">
        <v>2273</v>
      </c>
      <c r="C274" s="138" t="s">
        <v>599</v>
      </c>
      <c r="D274" s="138" t="s">
        <v>596</v>
      </c>
      <c r="E274" s="138" t="s">
        <v>1571</v>
      </c>
      <c r="F274" s="420">
        <v>43100</v>
      </c>
      <c r="G274" s="141">
        <v>2964.7715400000002</v>
      </c>
      <c r="H274" s="141">
        <v>8</v>
      </c>
      <c r="I274" s="141">
        <v>179.66904000000002</v>
      </c>
      <c r="J274" s="141">
        <v>533.90919899999994</v>
      </c>
      <c r="K274" s="141">
        <v>310.01116999999999</v>
      </c>
      <c r="L274" s="141">
        <v>1168.6392679999999</v>
      </c>
      <c r="M274" s="141">
        <v>3</v>
      </c>
      <c r="N274" s="141">
        <v>5</v>
      </c>
      <c r="O274" s="623">
        <f t="shared" si="16"/>
        <v>0.375</v>
      </c>
      <c r="P274" s="140">
        <f>O274*K274</f>
        <v>116.25418875</v>
      </c>
    </row>
    <row r="275" spans="1:16" s="382" customFormat="1" ht="29.45" customHeight="1">
      <c r="A275" s="136" t="s">
        <v>2081</v>
      </c>
      <c r="B275" s="421" t="s">
        <v>3859</v>
      </c>
      <c r="C275" s="136" t="s">
        <v>3860</v>
      </c>
      <c r="D275" s="136" t="s">
        <v>1622</v>
      </c>
      <c r="E275" s="136" t="s">
        <v>1571</v>
      </c>
      <c r="F275" s="419">
        <v>41639</v>
      </c>
      <c r="G275" s="140">
        <v>2954.3019399999998</v>
      </c>
      <c r="H275" s="140">
        <v>23</v>
      </c>
      <c r="I275" s="140">
        <v>11.3896</v>
      </c>
      <c r="J275" s="140">
        <v>16.2852</v>
      </c>
      <c r="K275" s="140">
        <v>476.94726000000003</v>
      </c>
      <c r="L275" s="140">
        <v>620.12842000000001</v>
      </c>
      <c r="M275" s="140">
        <v>7</v>
      </c>
      <c r="N275" s="140">
        <v>14</v>
      </c>
      <c r="O275" s="623">
        <f t="shared" si="16"/>
        <v>0.33333333333333331</v>
      </c>
      <c r="P275" s="140">
        <f>O275*K275</f>
        <v>158.98241999999999</v>
      </c>
    </row>
    <row r="276" spans="1:16" s="382" customFormat="1" ht="29.45" customHeight="1">
      <c r="A276" s="138" t="s">
        <v>2083</v>
      </c>
      <c r="B276" s="137" t="s">
        <v>3861</v>
      </c>
      <c r="C276" s="138" t="s">
        <v>3862</v>
      </c>
      <c r="D276" s="138" t="s">
        <v>1156</v>
      </c>
      <c r="E276" s="138" t="s">
        <v>1571</v>
      </c>
      <c r="F276" s="420">
        <v>43100</v>
      </c>
      <c r="G276" s="141">
        <v>2935.0132600000002</v>
      </c>
      <c r="H276" s="141">
        <v>32</v>
      </c>
      <c r="I276" s="141">
        <v>10.26146</v>
      </c>
      <c r="J276" s="141">
        <v>44.996259999999992</v>
      </c>
      <c r="K276" s="141">
        <v>1238.9233100000001</v>
      </c>
      <c r="L276" s="141">
        <v>1368.32798</v>
      </c>
      <c r="M276" s="142"/>
      <c r="N276" s="142"/>
      <c r="O276" s="623" t="e">
        <f t="shared" si="16"/>
        <v>#DIV/0!</v>
      </c>
      <c r="P276" s="140"/>
    </row>
    <row r="277" spans="1:16" s="382" customFormat="1" ht="29.45" customHeight="1">
      <c r="A277" s="136" t="s">
        <v>2085</v>
      </c>
      <c r="B277" s="135" t="s">
        <v>3863</v>
      </c>
      <c r="C277" s="136" t="s">
        <v>3864</v>
      </c>
      <c r="D277" s="136" t="s">
        <v>1190</v>
      </c>
      <c r="E277" s="136" t="s">
        <v>1571</v>
      </c>
      <c r="F277" s="419">
        <v>43100</v>
      </c>
      <c r="G277" s="140">
        <v>2913.4269099999997</v>
      </c>
      <c r="H277" s="140">
        <v>2</v>
      </c>
      <c r="I277" s="140">
        <v>203.16225</v>
      </c>
      <c r="J277" s="140">
        <v>644.58136999999999</v>
      </c>
      <c r="K277" s="140">
        <v>116.30122</v>
      </c>
      <c r="L277" s="140">
        <v>970.10172999999998</v>
      </c>
      <c r="M277" s="143"/>
      <c r="N277" s="143"/>
      <c r="O277" s="623" t="e">
        <f t="shared" si="16"/>
        <v>#DIV/0!</v>
      </c>
      <c r="P277" s="140"/>
    </row>
    <row r="278" spans="1:16" s="382" customFormat="1" ht="43.15" customHeight="1">
      <c r="A278" s="138" t="s">
        <v>2087</v>
      </c>
      <c r="B278" s="137" t="s">
        <v>3865</v>
      </c>
      <c r="C278" s="138" t="s">
        <v>3866</v>
      </c>
      <c r="D278" s="138" t="s">
        <v>3867</v>
      </c>
      <c r="E278" s="138" t="s">
        <v>1571</v>
      </c>
      <c r="F278" s="420">
        <v>42369</v>
      </c>
      <c r="G278" s="141">
        <v>2870.5268899999996</v>
      </c>
      <c r="H278" s="141">
        <v>104</v>
      </c>
      <c r="I278" s="141">
        <v>13.943809999999999</v>
      </c>
      <c r="J278" s="141">
        <v>49.331269999999996</v>
      </c>
      <c r="K278" s="141">
        <v>1903.9492700000001</v>
      </c>
      <c r="L278" s="141">
        <v>2089.54234</v>
      </c>
      <c r="M278" s="142"/>
      <c r="N278" s="142"/>
      <c r="O278" s="623" t="e">
        <f t="shared" si="16"/>
        <v>#DIV/0!</v>
      </c>
      <c r="P278" s="140"/>
    </row>
    <row r="279" spans="1:16" s="382" customFormat="1" ht="43.15" customHeight="1">
      <c r="A279" s="136" t="s">
        <v>2089</v>
      </c>
      <c r="B279" s="135" t="s">
        <v>3868</v>
      </c>
      <c r="C279" s="136" t="s">
        <v>3869</v>
      </c>
      <c r="D279" s="136" t="s">
        <v>1266</v>
      </c>
      <c r="E279" s="136" t="s">
        <v>1571</v>
      </c>
      <c r="F279" s="419">
        <v>42735</v>
      </c>
      <c r="G279" s="140">
        <v>2751</v>
      </c>
      <c r="H279" s="140">
        <v>9</v>
      </c>
      <c r="I279" s="143" t="s">
        <v>189</v>
      </c>
      <c r="J279" s="143" t="s">
        <v>189</v>
      </c>
      <c r="K279" s="140">
        <v>561</v>
      </c>
      <c r="L279" s="140">
        <v>804</v>
      </c>
      <c r="M279" s="143"/>
      <c r="N279" s="143"/>
      <c r="O279" s="623" t="e">
        <f t="shared" si="16"/>
        <v>#DIV/0!</v>
      </c>
      <c r="P279" s="140"/>
    </row>
    <row r="280" spans="1:16" s="382" customFormat="1" ht="29.45" customHeight="1">
      <c r="A280" s="138" t="s">
        <v>2091</v>
      </c>
      <c r="B280" s="137" t="s">
        <v>2299</v>
      </c>
      <c r="C280" s="138" t="s">
        <v>1276</v>
      </c>
      <c r="D280" s="138" t="s">
        <v>1266</v>
      </c>
      <c r="E280" s="138" t="s">
        <v>1571</v>
      </c>
      <c r="F280" s="420">
        <v>43100</v>
      </c>
      <c r="G280" s="141">
        <v>2745.0123199999998</v>
      </c>
      <c r="H280" s="141">
        <v>3</v>
      </c>
      <c r="I280" s="141">
        <v>4.6323400000000001</v>
      </c>
      <c r="J280" s="141">
        <v>16.586867000000002</v>
      </c>
      <c r="K280" s="141">
        <v>141.41737000000001</v>
      </c>
      <c r="L280" s="141">
        <v>164.23269700000003</v>
      </c>
      <c r="M280" s="142"/>
      <c r="N280" s="141">
        <v>22</v>
      </c>
      <c r="O280" s="623">
        <f t="shared" si="16"/>
        <v>0</v>
      </c>
      <c r="P280" s="140">
        <f>O280*K280</f>
        <v>0</v>
      </c>
    </row>
    <row r="281" spans="1:16" s="382" customFormat="1" ht="17.100000000000001" customHeight="1">
      <c r="A281" s="136" t="s">
        <v>2093</v>
      </c>
      <c r="B281" s="135" t="s">
        <v>3870</v>
      </c>
      <c r="C281" s="136" t="s">
        <v>3871</v>
      </c>
      <c r="D281" s="136" t="s">
        <v>1474</v>
      </c>
      <c r="E281" s="136" t="s">
        <v>1571</v>
      </c>
      <c r="F281" s="419">
        <v>43100</v>
      </c>
      <c r="G281" s="140">
        <v>2592.0204299999996</v>
      </c>
      <c r="H281" s="140">
        <v>7</v>
      </c>
      <c r="I281" s="140">
        <v>64.893480000000011</v>
      </c>
      <c r="J281" s="140">
        <v>210.25268</v>
      </c>
      <c r="K281" s="140">
        <v>435.67529999999999</v>
      </c>
      <c r="L281" s="140">
        <v>764.18160999999998</v>
      </c>
      <c r="M281" s="143"/>
      <c r="N281" s="143"/>
      <c r="O281" s="623" t="e">
        <f t="shared" si="16"/>
        <v>#DIV/0!</v>
      </c>
      <c r="P281" s="140"/>
    </row>
    <row r="282" spans="1:16" s="382" customFormat="1" ht="29.45" customHeight="1">
      <c r="A282" s="138" t="s">
        <v>2095</v>
      </c>
      <c r="B282" s="137" t="s">
        <v>3872</v>
      </c>
      <c r="C282" s="138" t="s">
        <v>3873</v>
      </c>
      <c r="D282" s="138" t="s">
        <v>1251</v>
      </c>
      <c r="E282" s="138" t="s">
        <v>1571</v>
      </c>
      <c r="F282" s="420">
        <v>43100</v>
      </c>
      <c r="G282" s="141">
        <v>2585.2752390000001</v>
      </c>
      <c r="H282" s="141">
        <v>9</v>
      </c>
      <c r="I282" s="142" t="s">
        <v>189</v>
      </c>
      <c r="J282" s="141">
        <v>-38.15813</v>
      </c>
      <c r="K282" s="141">
        <v>493.95923000000005</v>
      </c>
      <c r="L282" s="141">
        <v>662.55312900000001</v>
      </c>
      <c r="M282" s="142"/>
      <c r="N282" s="141">
        <v>9</v>
      </c>
      <c r="O282" s="623">
        <f t="shared" si="16"/>
        <v>0</v>
      </c>
      <c r="P282" s="140"/>
    </row>
    <row r="283" spans="1:16" s="382" customFormat="1" ht="17.100000000000001" customHeight="1">
      <c r="A283" s="136" t="s">
        <v>2097</v>
      </c>
      <c r="B283" s="135" t="s">
        <v>3874</v>
      </c>
      <c r="C283" s="136" t="s">
        <v>3875</v>
      </c>
      <c r="D283" s="136" t="s">
        <v>1409</v>
      </c>
      <c r="E283" s="136" t="s">
        <v>1571</v>
      </c>
      <c r="F283" s="419">
        <v>42735</v>
      </c>
      <c r="G283" s="140">
        <v>2578</v>
      </c>
      <c r="H283" s="140">
        <v>30</v>
      </c>
      <c r="I283" s="143" t="s">
        <v>189</v>
      </c>
      <c r="J283" s="140">
        <v>12</v>
      </c>
      <c r="K283" s="140">
        <v>1507</v>
      </c>
      <c r="L283" s="140">
        <v>1801</v>
      </c>
      <c r="M283" s="143"/>
      <c r="N283" s="143"/>
      <c r="O283" s="623" t="e">
        <f t="shared" ref="O283:O346" si="17">M283/(M283+N283)</f>
        <v>#DIV/0!</v>
      </c>
      <c r="P283" s="140"/>
    </row>
    <row r="284" spans="1:16" s="382" customFormat="1" ht="17.100000000000001" customHeight="1">
      <c r="A284" s="138" t="s">
        <v>2099</v>
      </c>
      <c r="B284" s="137" t="s">
        <v>3876</v>
      </c>
      <c r="C284" s="138" t="s">
        <v>3877</v>
      </c>
      <c r="D284" s="138" t="s">
        <v>795</v>
      </c>
      <c r="E284" s="138" t="s">
        <v>1571</v>
      </c>
      <c r="F284" s="420">
        <v>43100</v>
      </c>
      <c r="G284" s="141">
        <v>2550.8904400000001</v>
      </c>
      <c r="H284" s="141">
        <v>14</v>
      </c>
      <c r="I284" s="141">
        <v>-40.734279999999998</v>
      </c>
      <c r="J284" s="141">
        <v>515.03215</v>
      </c>
      <c r="K284" s="141">
        <v>564.02566000000002</v>
      </c>
      <c r="L284" s="141">
        <v>1160.04674</v>
      </c>
      <c r="M284" s="141">
        <v>4</v>
      </c>
      <c r="N284" s="141">
        <v>10</v>
      </c>
      <c r="O284" s="623">
        <f t="shared" si="17"/>
        <v>0.2857142857142857</v>
      </c>
      <c r="P284" s="140">
        <f>O284*K284</f>
        <v>161.15018857142857</v>
      </c>
    </row>
    <row r="285" spans="1:16" s="382" customFormat="1" ht="17.100000000000001" customHeight="1">
      <c r="A285" s="136" t="s">
        <v>2101</v>
      </c>
      <c r="B285" s="135" t="s">
        <v>2331</v>
      </c>
      <c r="C285" s="136" t="s">
        <v>1121</v>
      </c>
      <c r="D285" s="136" t="s">
        <v>1112</v>
      </c>
      <c r="E285" s="136" t="s">
        <v>1571</v>
      </c>
      <c r="F285" s="419">
        <v>43100</v>
      </c>
      <c r="G285" s="140">
        <v>2529.2927000000004</v>
      </c>
      <c r="H285" s="140">
        <v>12</v>
      </c>
      <c r="I285" s="140">
        <v>36.937089999999998</v>
      </c>
      <c r="J285" s="140">
        <v>116.04963000000001</v>
      </c>
      <c r="K285" s="140">
        <v>501.83503000000002</v>
      </c>
      <c r="L285" s="140">
        <v>710.53716000000009</v>
      </c>
      <c r="M285" s="140">
        <v>3</v>
      </c>
      <c r="N285" s="140">
        <v>9</v>
      </c>
      <c r="O285" s="623">
        <f t="shared" si="17"/>
        <v>0.25</v>
      </c>
      <c r="P285" s="140">
        <f>O285*K285</f>
        <v>125.4587575</v>
      </c>
    </row>
    <row r="286" spans="1:16" s="382" customFormat="1" ht="43.15" customHeight="1">
      <c r="A286" s="138" t="s">
        <v>2103</v>
      </c>
      <c r="B286" s="137" t="s">
        <v>3878</v>
      </c>
      <c r="C286" s="138" t="s">
        <v>3879</v>
      </c>
      <c r="D286" s="138" t="s">
        <v>1474</v>
      </c>
      <c r="E286" s="138" t="s">
        <v>1571</v>
      </c>
      <c r="F286" s="420">
        <v>43100</v>
      </c>
      <c r="G286" s="141">
        <v>2523.8247999999999</v>
      </c>
      <c r="H286" s="141">
        <v>21</v>
      </c>
      <c r="I286" s="142" t="s">
        <v>189</v>
      </c>
      <c r="J286" s="141">
        <v>36.786070000000002</v>
      </c>
      <c r="K286" s="141">
        <v>692.76013</v>
      </c>
      <c r="L286" s="141">
        <v>826.35336000000007</v>
      </c>
      <c r="M286" s="141">
        <v>3</v>
      </c>
      <c r="N286" s="141">
        <v>18</v>
      </c>
      <c r="O286" s="623">
        <f t="shared" si="17"/>
        <v>0.14285714285714285</v>
      </c>
      <c r="P286" s="140">
        <f>O286*K286</f>
        <v>98.965732857142854</v>
      </c>
    </row>
    <row r="287" spans="1:16" s="382" customFormat="1" ht="55.7" customHeight="1">
      <c r="A287" s="136" t="s">
        <v>2105</v>
      </c>
      <c r="B287" s="135" t="s">
        <v>3880</v>
      </c>
      <c r="C287" s="136" t="s">
        <v>3881</v>
      </c>
      <c r="D287" s="136" t="s">
        <v>1027</v>
      </c>
      <c r="E287" s="136" t="s">
        <v>1571</v>
      </c>
      <c r="F287" s="419">
        <v>42735</v>
      </c>
      <c r="G287" s="140">
        <v>2455.7594800000002</v>
      </c>
      <c r="H287" s="140">
        <v>15</v>
      </c>
      <c r="I287" s="140">
        <v>26.369480000000003</v>
      </c>
      <c r="J287" s="140">
        <v>102.53543999999999</v>
      </c>
      <c r="K287" s="140">
        <v>940.06486000000007</v>
      </c>
      <c r="L287" s="140">
        <v>1080.20099</v>
      </c>
      <c r="M287" s="143"/>
      <c r="N287" s="143"/>
      <c r="O287" s="623" t="e">
        <f t="shared" si="17"/>
        <v>#DIV/0!</v>
      </c>
      <c r="P287" s="140"/>
    </row>
    <row r="288" spans="1:16" s="382" customFormat="1" ht="29.45" customHeight="1">
      <c r="A288" s="138" t="s">
        <v>2107</v>
      </c>
      <c r="B288" s="139" t="s">
        <v>3882</v>
      </c>
      <c r="C288" s="138" t="s">
        <v>3883</v>
      </c>
      <c r="D288" s="138" t="s">
        <v>1190</v>
      </c>
      <c r="E288" s="138" t="s">
        <v>1571</v>
      </c>
      <c r="F288" s="420">
        <v>42369</v>
      </c>
      <c r="G288" s="141">
        <v>2438.8318199999999</v>
      </c>
      <c r="H288" s="141">
        <v>28</v>
      </c>
      <c r="I288" s="142" t="s">
        <v>189</v>
      </c>
      <c r="J288" s="141">
        <v>-205.25852</v>
      </c>
      <c r="K288" s="141">
        <v>826.72465</v>
      </c>
      <c r="L288" s="141">
        <v>878.63621999999998</v>
      </c>
      <c r="M288" s="142"/>
      <c r="N288" s="142"/>
      <c r="O288" s="623" t="e">
        <f t="shared" si="17"/>
        <v>#DIV/0!</v>
      </c>
      <c r="P288" s="140"/>
    </row>
    <row r="289" spans="1:16" s="382" customFormat="1" ht="29.45" customHeight="1">
      <c r="A289" s="136" t="s">
        <v>2109</v>
      </c>
      <c r="B289" s="135" t="s">
        <v>3884</v>
      </c>
      <c r="C289" s="136" t="s">
        <v>3885</v>
      </c>
      <c r="D289" s="136" t="s">
        <v>1451</v>
      </c>
      <c r="E289" s="136" t="s">
        <v>1571</v>
      </c>
      <c r="F289" s="419">
        <v>43100</v>
      </c>
      <c r="G289" s="140">
        <v>2396.8894099999998</v>
      </c>
      <c r="H289" s="140">
        <v>24</v>
      </c>
      <c r="I289" s="140">
        <v>79.265420000000006</v>
      </c>
      <c r="J289" s="140">
        <v>728.05563000000006</v>
      </c>
      <c r="K289" s="140">
        <v>816.74836000000016</v>
      </c>
      <c r="L289" s="140">
        <v>1645.30123</v>
      </c>
      <c r="M289" s="143"/>
      <c r="N289" s="143"/>
      <c r="O289" s="623" t="e">
        <f t="shared" si="17"/>
        <v>#DIV/0!</v>
      </c>
      <c r="P289" s="140"/>
    </row>
    <row r="290" spans="1:16" s="382" customFormat="1" ht="17.100000000000001" customHeight="1">
      <c r="A290" s="138" t="s">
        <v>2111</v>
      </c>
      <c r="B290" s="137" t="s">
        <v>2359</v>
      </c>
      <c r="C290" s="138" t="s">
        <v>1094</v>
      </c>
      <c r="D290" s="138" t="s">
        <v>969</v>
      </c>
      <c r="E290" s="138" t="s">
        <v>1571</v>
      </c>
      <c r="F290" s="420">
        <v>43100</v>
      </c>
      <c r="G290" s="141">
        <v>2356.4047390000001</v>
      </c>
      <c r="H290" s="141">
        <v>18</v>
      </c>
      <c r="I290" s="141">
        <v>14.524559999999999</v>
      </c>
      <c r="J290" s="141">
        <v>40.295200000000001</v>
      </c>
      <c r="K290" s="141">
        <v>692.65294000000006</v>
      </c>
      <c r="L290" s="141">
        <v>793.89128899999992</v>
      </c>
      <c r="M290" s="142"/>
      <c r="N290" s="142"/>
      <c r="O290" s="623" t="e">
        <f t="shared" si="17"/>
        <v>#DIV/0!</v>
      </c>
      <c r="P290" s="140"/>
    </row>
    <row r="291" spans="1:16" s="382" customFormat="1" ht="29.45" customHeight="1">
      <c r="A291" s="136" t="s">
        <v>2113</v>
      </c>
      <c r="B291" s="135" t="s">
        <v>2372</v>
      </c>
      <c r="C291" s="136" t="s">
        <v>1102</v>
      </c>
      <c r="D291" s="136" t="s">
        <v>969</v>
      </c>
      <c r="E291" s="136" t="s">
        <v>1571</v>
      </c>
      <c r="F291" s="419">
        <v>43100</v>
      </c>
      <c r="G291" s="140">
        <v>2333.9051800000002</v>
      </c>
      <c r="H291" s="140">
        <v>26</v>
      </c>
      <c r="I291" s="140">
        <v>15.48925</v>
      </c>
      <c r="J291" s="140">
        <v>64.704819999999998</v>
      </c>
      <c r="K291" s="140">
        <v>872.42525000000001</v>
      </c>
      <c r="L291" s="140">
        <v>970.86539000000005</v>
      </c>
      <c r="M291" s="143"/>
      <c r="N291" s="143"/>
      <c r="O291" s="623" t="e">
        <f t="shared" si="17"/>
        <v>#DIV/0!</v>
      </c>
      <c r="P291" s="140"/>
    </row>
    <row r="292" spans="1:16" s="382" customFormat="1" ht="17.100000000000001" customHeight="1">
      <c r="A292" s="138" t="s">
        <v>2115</v>
      </c>
      <c r="B292" s="137" t="s">
        <v>3886</v>
      </c>
      <c r="C292" s="138" t="s">
        <v>3887</v>
      </c>
      <c r="D292" s="138" t="s">
        <v>811</v>
      </c>
      <c r="E292" s="138" t="s">
        <v>1571</v>
      </c>
      <c r="F292" s="420">
        <v>43100</v>
      </c>
      <c r="G292" s="141">
        <v>2331.8289199999999</v>
      </c>
      <c r="H292" s="141">
        <v>2</v>
      </c>
      <c r="I292" s="141">
        <v>17.432089999999999</v>
      </c>
      <c r="J292" s="141">
        <v>136.57702</v>
      </c>
      <c r="K292" s="141">
        <v>51.824340000000007</v>
      </c>
      <c r="L292" s="141">
        <v>210.25775000000002</v>
      </c>
      <c r="M292" s="141">
        <v>1</v>
      </c>
      <c r="N292" s="141">
        <v>1</v>
      </c>
      <c r="O292" s="623">
        <f t="shared" si="17"/>
        <v>0.5</v>
      </c>
      <c r="P292" s="140">
        <f>O292*K292</f>
        <v>25.912170000000003</v>
      </c>
    </row>
    <row r="293" spans="1:16" s="382" customFormat="1" ht="29.45" customHeight="1">
      <c r="A293" s="136" t="s">
        <v>2117</v>
      </c>
      <c r="B293" s="135" t="s">
        <v>2374</v>
      </c>
      <c r="C293" s="136" t="s">
        <v>1241</v>
      </c>
      <c r="D293" s="136" t="s">
        <v>1235</v>
      </c>
      <c r="E293" s="136" t="s">
        <v>1571</v>
      </c>
      <c r="F293" s="419">
        <v>43100</v>
      </c>
      <c r="G293" s="140">
        <v>2320.4204099999997</v>
      </c>
      <c r="H293" s="140">
        <v>24</v>
      </c>
      <c r="I293" s="140">
        <v>50.196680000000001</v>
      </c>
      <c r="J293" s="140">
        <v>287.22547000000003</v>
      </c>
      <c r="K293" s="140">
        <v>927.60023000000001</v>
      </c>
      <c r="L293" s="140">
        <v>1361.35628</v>
      </c>
      <c r="M293" s="143"/>
      <c r="N293" s="143"/>
      <c r="O293" s="623" t="e">
        <f t="shared" si="17"/>
        <v>#DIV/0!</v>
      </c>
      <c r="P293" s="140"/>
    </row>
    <row r="294" spans="1:16" s="382" customFormat="1" ht="29.45" customHeight="1">
      <c r="A294" s="138" t="s">
        <v>2119</v>
      </c>
      <c r="B294" s="137" t="s">
        <v>3888</v>
      </c>
      <c r="C294" s="138" t="s">
        <v>3889</v>
      </c>
      <c r="D294" s="138" t="s">
        <v>3890</v>
      </c>
      <c r="E294" s="138" t="s">
        <v>1571</v>
      </c>
      <c r="F294" s="420">
        <v>43100</v>
      </c>
      <c r="G294" s="141">
        <v>2299.7218899999998</v>
      </c>
      <c r="H294" s="141">
        <v>35</v>
      </c>
      <c r="I294" s="141">
        <v>40.58343</v>
      </c>
      <c r="J294" s="141">
        <v>310.31025</v>
      </c>
      <c r="K294" s="141">
        <v>686.93498999999997</v>
      </c>
      <c r="L294" s="141">
        <v>1230.9841190000002</v>
      </c>
      <c r="M294" s="142"/>
      <c r="N294" s="142"/>
      <c r="O294" s="623" t="e">
        <f t="shared" si="17"/>
        <v>#DIV/0!</v>
      </c>
      <c r="P294" s="140"/>
    </row>
    <row r="295" spans="1:16" s="382" customFormat="1" ht="17.100000000000001" customHeight="1">
      <c r="A295" s="136" t="s">
        <v>2121</v>
      </c>
      <c r="B295" s="135" t="s">
        <v>3891</v>
      </c>
      <c r="C295" s="136" t="s">
        <v>3892</v>
      </c>
      <c r="D295" s="136" t="s">
        <v>1112</v>
      </c>
      <c r="E295" s="136" t="s">
        <v>1571</v>
      </c>
      <c r="F295" s="419">
        <v>43100</v>
      </c>
      <c r="G295" s="140">
        <v>2292.1978499999996</v>
      </c>
      <c r="H295" s="140">
        <v>5</v>
      </c>
      <c r="I295" s="140">
        <v>13.152510000000001</v>
      </c>
      <c r="J295" s="140">
        <v>28.215129999999998</v>
      </c>
      <c r="K295" s="140">
        <v>548.77749000000006</v>
      </c>
      <c r="L295" s="140">
        <v>603.06479899999988</v>
      </c>
      <c r="M295" s="140">
        <v>2</v>
      </c>
      <c r="N295" s="140">
        <v>3</v>
      </c>
      <c r="O295" s="623">
        <f t="shared" si="17"/>
        <v>0.4</v>
      </c>
      <c r="P295" s="140">
        <f>O295*K295</f>
        <v>219.51099600000003</v>
      </c>
    </row>
    <row r="296" spans="1:16" s="382" customFormat="1" ht="29.45" customHeight="1">
      <c r="A296" s="138" t="s">
        <v>2123</v>
      </c>
      <c r="B296" s="137" t="s">
        <v>2386</v>
      </c>
      <c r="C296" s="138" t="s">
        <v>683</v>
      </c>
      <c r="D296" s="138" t="s">
        <v>681</v>
      </c>
      <c r="E296" s="138" t="s">
        <v>1571</v>
      </c>
      <c r="F296" s="420">
        <v>43100</v>
      </c>
      <c r="G296" s="141">
        <v>2279.1521000000002</v>
      </c>
      <c r="H296" s="141">
        <v>18</v>
      </c>
      <c r="I296" s="141">
        <v>11.811140000000002</v>
      </c>
      <c r="J296" s="141">
        <v>30.371510000000001</v>
      </c>
      <c r="K296" s="141">
        <v>744.75407999999993</v>
      </c>
      <c r="L296" s="141">
        <v>868.17490000000009</v>
      </c>
      <c r="M296" s="142"/>
      <c r="N296" s="142"/>
      <c r="O296" s="623" t="e">
        <f t="shared" si="17"/>
        <v>#DIV/0!</v>
      </c>
      <c r="P296" s="140"/>
    </row>
    <row r="297" spans="1:16" s="382" customFormat="1" ht="17.100000000000001" customHeight="1">
      <c r="A297" s="136" t="s">
        <v>2125</v>
      </c>
      <c r="B297" s="135" t="s">
        <v>2396</v>
      </c>
      <c r="C297" s="136" t="s">
        <v>864</v>
      </c>
      <c r="D297" s="136" t="s">
        <v>811</v>
      </c>
      <c r="E297" s="136" t="s">
        <v>1571</v>
      </c>
      <c r="F297" s="419">
        <v>43100</v>
      </c>
      <c r="G297" s="140">
        <v>2208.23614</v>
      </c>
      <c r="H297" s="140">
        <v>1</v>
      </c>
      <c r="I297" s="143" t="s">
        <v>189</v>
      </c>
      <c r="J297" s="140">
        <v>5.3286000000000007</v>
      </c>
      <c r="K297" s="140">
        <v>95.786150000000006</v>
      </c>
      <c r="L297" s="140">
        <v>107.44399</v>
      </c>
      <c r="M297" s="143"/>
      <c r="N297" s="143"/>
      <c r="O297" s="623" t="e">
        <f t="shared" si="17"/>
        <v>#DIV/0!</v>
      </c>
      <c r="P297" s="140"/>
    </row>
    <row r="298" spans="1:16" s="382" customFormat="1" ht="17.100000000000001" customHeight="1">
      <c r="A298" s="138" t="s">
        <v>2127</v>
      </c>
      <c r="B298" s="137" t="s">
        <v>3893</v>
      </c>
      <c r="C298" s="138" t="s">
        <v>3894</v>
      </c>
      <c r="D298" s="138" t="s">
        <v>1501</v>
      </c>
      <c r="E298" s="138" t="s">
        <v>1571</v>
      </c>
      <c r="F298" s="420">
        <v>43100</v>
      </c>
      <c r="G298" s="141">
        <v>2177.49262</v>
      </c>
      <c r="H298" s="141">
        <v>19</v>
      </c>
      <c r="I298" s="141">
        <v>-23.989910000000002</v>
      </c>
      <c r="J298" s="141">
        <v>-76.800190000000001</v>
      </c>
      <c r="K298" s="141">
        <v>962.4307</v>
      </c>
      <c r="L298" s="141">
        <v>908.70783000000006</v>
      </c>
      <c r="M298" s="142"/>
      <c r="N298" s="142"/>
      <c r="O298" s="623" t="e">
        <f t="shared" si="17"/>
        <v>#DIV/0!</v>
      </c>
      <c r="P298" s="140"/>
    </row>
    <row r="299" spans="1:16" s="382" customFormat="1" ht="29.45" customHeight="1">
      <c r="A299" s="136" t="s">
        <v>2129</v>
      </c>
      <c r="B299" s="135" t="s">
        <v>3895</v>
      </c>
      <c r="C299" s="136" t="s">
        <v>3896</v>
      </c>
      <c r="D299" s="136" t="s">
        <v>975</v>
      </c>
      <c r="E299" s="136" t="s">
        <v>1571</v>
      </c>
      <c r="F299" s="419">
        <v>43100</v>
      </c>
      <c r="G299" s="140">
        <v>2121.69371</v>
      </c>
      <c r="H299" s="140">
        <v>8</v>
      </c>
      <c r="I299" s="140">
        <v>11.46838</v>
      </c>
      <c r="J299" s="140">
        <v>17.108599999999999</v>
      </c>
      <c r="K299" s="140">
        <v>453.60084000000001</v>
      </c>
      <c r="L299" s="140">
        <v>562.53542000000004</v>
      </c>
      <c r="M299" s="143"/>
      <c r="N299" s="143"/>
      <c r="O299" s="623" t="e">
        <f t="shared" si="17"/>
        <v>#DIV/0!</v>
      </c>
      <c r="P299" s="140"/>
    </row>
    <row r="300" spans="1:16" s="382" customFormat="1" ht="29.45" customHeight="1">
      <c r="A300" s="138" t="s">
        <v>2131</v>
      </c>
      <c r="B300" s="137" t="s">
        <v>3897</v>
      </c>
      <c r="C300" s="138" t="s">
        <v>3898</v>
      </c>
      <c r="D300" s="138" t="s">
        <v>1266</v>
      </c>
      <c r="E300" s="138" t="s">
        <v>1571</v>
      </c>
      <c r="F300" s="420">
        <v>43100</v>
      </c>
      <c r="G300" s="141">
        <v>2100</v>
      </c>
      <c r="H300" s="141">
        <v>22</v>
      </c>
      <c r="I300" s="142" t="s">
        <v>189</v>
      </c>
      <c r="J300" s="141">
        <v>44</v>
      </c>
      <c r="K300" s="141">
        <v>1117</v>
      </c>
      <c r="L300" s="141">
        <v>1257</v>
      </c>
      <c r="M300" s="142"/>
      <c r="N300" s="142"/>
      <c r="O300" s="623" t="e">
        <f t="shared" si="17"/>
        <v>#DIV/0!</v>
      </c>
      <c r="P300" s="140"/>
    </row>
    <row r="301" spans="1:16" s="382" customFormat="1" ht="29.45" customHeight="1">
      <c r="A301" s="136" t="s">
        <v>2133</v>
      </c>
      <c r="B301" s="135" t="s">
        <v>3899</v>
      </c>
      <c r="C301" s="136" t="s">
        <v>3900</v>
      </c>
      <c r="D301" s="136" t="s">
        <v>1266</v>
      </c>
      <c r="E301" s="136" t="s">
        <v>1571</v>
      </c>
      <c r="F301" s="419">
        <v>43100</v>
      </c>
      <c r="G301" s="140">
        <v>2091.0445199999999</v>
      </c>
      <c r="H301" s="143" t="s">
        <v>189</v>
      </c>
      <c r="I301" s="140">
        <v>-117.56958</v>
      </c>
      <c r="J301" s="140">
        <v>338.18132000000003</v>
      </c>
      <c r="K301" s="140">
        <v>792.42786999999998</v>
      </c>
      <c r="L301" s="140">
        <v>1231.4385590000002</v>
      </c>
      <c r="M301" s="143"/>
      <c r="N301" s="143"/>
      <c r="O301" s="623" t="e">
        <f t="shared" si="17"/>
        <v>#DIV/0!</v>
      </c>
      <c r="P301" s="140"/>
    </row>
    <row r="302" spans="1:16" s="382" customFormat="1" ht="29.45" customHeight="1">
      <c r="A302" s="138" t="s">
        <v>2135</v>
      </c>
      <c r="B302" s="137" t="s">
        <v>3901</v>
      </c>
      <c r="C302" s="138" t="s">
        <v>3902</v>
      </c>
      <c r="D302" s="138" t="s">
        <v>1429</v>
      </c>
      <c r="E302" s="138" t="s">
        <v>1571</v>
      </c>
      <c r="F302" s="420">
        <v>43100</v>
      </c>
      <c r="G302" s="141">
        <v>2074.4411700000001</v>
      </c>
      <c r="H302" s="141">
        <v>8</v>
      </c>
      <c r="I302" s="141">
        <v>3.02122</v>
      </c>
      <c r="J302" s="141">
        <v>-15.745610000000001</v>
      </c>
      <c r="K302" s="141">
        <v>354.94003000000004</v>
      </c>
      <c r="L302" s="141">
        <v>418.86112000000003</v>
      </c>
      <c r="M302" s="142"/>
      <c r="N302" s="142"/>
      <c r="O302" s="623" t="e">
        <f t="shared" si="17"/>
        <v>#DIV/0!</v>
      </c>
      <c r="P302" s="140"/>
    </row>
    <row r="303" spans="1:16" s="382" customFormat="1" ht="29.45" customHeight="1">
      <c r="A303" s="136" t="s">
        <v>2137</v>
      </c>
      <c r="B303" s="421" t="s">
        <v>2434</v>
      </c>
      <c r="C303" s="136" t="s">
        <v>1361</v>
      </c>
      <c r="D303" s="136" t="s">
        <v>1341</v>
      </c>
      <c r="E303" s="136" t="s">
        <v>1571</v>
      </c>
      <c r="F303" s="419">
        <v>43100</v>
      </c>
      <c r="G303" s="140">
        <v>2016.0628600000002</v>
      </c>
      <c r="H303" s="140">
        <v>17</v>
      </c>
      <c r="I303" s="140">
        <v>23.223099999999999</v>
      </c>
      <c r="J303" s="140">
        <v>73.539810000000003</v>
      </c>
      <c r="K303" s="140">
        <v>607.90562999999997</v>
      </c>
      <c r="L303" s="140">
        <v>725.65236000000016</v>
      </c>
      <c r="M303" s="143"/>
      <c r="N303" s="143"/>
      <c r="O303" s="623" t="e">
        <f t="shared" si="17"/>
        <v>#DIV/0!</v>
      </c>
      <c r="P303" s="140"/>
    </row>
    <row r="304" spans="1:16" s="382" customFormat="1" ht="17.100000000000001" customHeight="1">
      <c r="A304" s="138" t="s">
        <v>2139</v>
      </c>
      <c r="B304" s="137" t="s">
        <v>2460</v>
      </c>
      <c r="C304" s="138" t="s">
        <v>945</v>
      </c>
      <c r="D304" s="138" t="s">
        <v>811</v>
      </c>
      <c r="E304" s="138" t="s">
        <v>1571</v>
      </c>
      <c r="F304" s="420">
        <v>43100</v>
      </c>
      <c r="G304" s="141">
        <v>1912.2447400000001</v>
      </c>
      <c r="H304" s="141">
        <v>19</v>
      </c>
      <c r="I304" s="141">
        <v>27.233509999999999</v>
      </c>
      <c r="J304" s="141">
        <v>86.239450000000005</v>
      </c>
      <c r="K304" s="141">
        <v>646.60269999999991</v>
      </c>
      <c r="L304" s="141">
        <v>830.72757999999999</v>
      </c>
      <c r="M304" s="141">
        <v>5</v>
      </c>
      <c r="N304" s="141">
        <v>12</v>
      </c>
      <c r="O304" s="623">
        <f t="shared" si="17"/>
        <v>0.29411764705882354</v>
      </c>
      <c r="P304" s="140">
        <f>O304*K304</f>
        <v>190.17726470588232</v>
      </c>
    </row>
    <row r="305" spans="1:16" s="382" customFormat="1" ht="29.45" customHeight="1">
      <c r="A305" s="136" t="s">
        <v>2141</v>
      </c>
      <c r="B305" s="135" t="s">
        <v>3903</v>
      </c>
      <c r="C305" s="136" t="s">
        <v>3904</v>
      </c>
      <c r="D305" s="136" t="s">
        <v>1266</v>
      </c>
      <c r="E305" s="136" t="s">
        <v>1571</v>
      </c>
      <c r="F305" s="419">
        <v>43100</v>
      </c>
      <c r="G305" s="140">
        <v>1905.799</v>
      </c>
      <c r="H305" s="140">
        <v>18</v>
      </c>
      <c r="I305" s="140">
        <v>-23.579000000000001</v>
      </c>
      <c r="J305" s="140">
        <v>155.63</v>
      </c>
      <c r="K305" s="140">
        <v>1285.1849999999999</v>
      </c>
      <c r="L305" s="140">
        <v>1475.711</v>
      </c>
      <c r="M305" s="143"/>
      <c r="N305" s="143"/>
      <c r="O305" s="623" t="e">
        <f t="shared" si="17"/>
        <v>#DIV/0!</v>
      </c>
      <c r="P305" s="140"/>
    </row>
    <row r="306" spans="1:16" s="382" customFormat="1" ht="17.100000000000001" customHeight="1">
      <c r="A306" s="138" t="s">
        <v>2143</v>
      </c>
      <c r="B306" s="137" t="s">
        <v>3905</v>
      </c>
      <c r="C306" s="138" t="s">
        <v>3906</v>
      </c>
      <c r="D306" s="138" t="s">
        <v>811</v>
      </c>
      <c r="E306" s="138" t="s">
        <v>1571</v>
      </c>
      <c r="F306" s="420">
        <v>43100</v>
      </c>
      <c r="G306" s="141">
        <v>1791.9892</v>
      </c>
      <c r="H306" s="141">
        <v>14</v>
      </c>
      <c r="I306" s="141">
        <v>17.81184</v>
      </c>
      <c r="J306" s="141">
        <v>52.212089999999996</v>
      </c>
      <c r="K306" s="141">
        <v>690.58685000000014</v>
      </c>
      <c r="L306" s="141">
        <v>772.09003000000007</v>
      </c>
      <c r="M306" s="142"/>
      <c r="N306" s="142"/>
      <c r="O306" s="623" t="e">
        <f t="shared" si="17"/>
        <v>#DIV/0!</v>
      </c>
      <c r="P306" s="140"/>
    </row>
    <row r="307" spans="1:16" s="382" customFormat="1" ht="17.100000000000001" customHeight="1">
      <c r="A307" s="136" t="s">
        <v>2145</v>
      </c>
      <c r="B307" s="135" t="s">
        <v>2486</v>
      </c>
      <c r="C307" s="136" t="s">
        <v>1164</v>
      </c>
      <c r="D307" s="136" t="s">
        <v>1156</v>
      </c>
      <c r="E307" s="136" t="s">
        <v>1571</v>
      </c>
      <c r="F307" s="419">
        <v>43100</v>
      </c>
      <c r="G307" s="140">
        <v>1791.9435600000002</v>
      </c>
      <c r="H307" s="140">
        <v>10</v>
      </c>
      <c r="I307" s="143" t="s">
        <v>189</v>
      </c>
      <c r="J307" s="140">
        <v>26.46818</v>
      </c>
      <c r="K307" s="140">
        <v>328.18736000000001</v>
      </c>
      <c r="L307" s="140">
        <v>388.15209999999996</v>
      </c>
      <c r="M307" s="143"/>
      <c r="N307" s="143"/>
      <c r="O307" s="623" t="e">
        <f t="shared" si="17"/>
        <v>#DIV/0!</v>
      </c>
      <c r="P307" s="140"/>
    </row>
    <row r="308" spans="1:16" s="382" customFormat="1" ht="17.100000000000001" customHeight="1">
      <c r="A308" s="138" t="s">
        <v>2147</v>
      </c>
      <c r="B308" s="137" t="s">
        <v>2492</v>
      </c>
      <c r="C308" s="138" t="s">
        <v>1044</v>
      </c>
      <c r="D308" s="138" t="s">
        <v>971</v>
      </c>
      <c r="E308" s="138" t="s">
        <v>1571</v>
      </c>
      <c r="F308" s="420">
        <v>43100</v>
      </c>
      <c r="G308" s="141">
        <v>1783.3961700000002</v>
      </c>
      <c r="H308" s="141">
        <v>8</v>
      </c>
      <c r="I308" s="141">
        <v>8.7873499999999982</v>
      </c>
      <c r="J308" s="141">
        <v>74.426220000000001</v>
      </c>
      <c r="K308" s="141">
        <v>235.10229000000001</v>
      </c>
      <c r="L308" s="141">
        <v>448.29300000000001</v>
      </c>
      <c r="M308" s="142"/>
      <c r="N308" s="142"/>
      <c r="O308" s="623" t="e">
        <f t="shared" si="17"/>
        <v>#DIV/0!</v>
      </c>
      <c r="P308" s="140"/>
    </row>
    <row r="309" spans="1:16" s="382" customFormat="1" ht="29.45" customHeight="1">
      <c r="A309" s="136" t="s">
        <v>2149</v>
      </c>
      <c r="B309" s="135" t="s">
        <v>3907</v>
      </c>
      <c r="C309" s="136" t="s">
        <v>3908</v>
      </c>
      <c r="D309" s="136" t="s">
        <v>1622</v>
      </c>
      <c r="E309" s="136" t="s">
        <v>1571</v>
      </c>
      <c r="F309" s="419">
        <v>43100</v>
      </c>
      <c r="G309" s="140">
        <v>1736</v>
      </c>
      <c r="H309" s="140">
        <v>16</v>
      </c>
      <c r="I309" s="140">
        <v>-39</v>
      </c>
      <c r="J309" s="140">
        <v>-99</v>
      </c>
      <c r="K309" s="140">
        <v>573</v>
      </c>
      <c r="L309" s="140">
        <v>844</v>
      </c>
      <c r="M309" s="140">
        <v>10</v>
      </c>
      <c r="N309" s="140">
        <v>5</v>
      </c>
      <c r="O309" s="623">
        <f t="shared" si="17"/>
        <v>0.66666666666666663</v>
      </c>
      <c r="P309" s="140">
        <f>O309*K309</f>
        <v>382</v>
      </c>
    </row>
    <row r="310" spans="1:16" s="382" customFormat="1" ht="17.100000000000001" customHeight="1">
      <c r="A310" s="138" t="s">
        <v>2151</v>
      </c>
      <c r="B310" s="137" t="s">
        <v>3909</v>
      </c>
      <c r="C310" s="138" t="s">
        <v>3910</v>
      </c>
      <c r="D310" s="138" t="s">
        <v>1461</v>
      </c>
      <c r="E310" s="138" t="s">
        <v>1571</v>
      </c>
      <c r="F310" s="420">
        <v>43100</v>
      </c>
      <c r="G310" s="141">
        <v>1720.8827900000001</v>
      </c>
      <c r="H310" s="141">
        <v>6</v>
      </c>
      <c r="I310" s="141">
        <v>119.80997000000001</v>
      </c>
      <c r="J310" s="141">
        <v>503.70529000000005</v>
      </c>
      <c r="K310" s="141">
        <v>359.54829000000007</v>
      </c>
      <c r="L310" s="141">
        <v>1016.5514400000001</v>
      </c>
      <c r="M310" s="142"/>
      <c r="N310" s="142"/>
      <c r="O310" s="623" t="e">
        <f t="shared" si="17"/>
        <v>#DIV/0!</v>
      </c>
      <c r="P310" s="140"/>
    </row>
    <row r="311" spans="1:16" s="382" customFormat="1" ht="29.45" customHeight="1">
      <c r="A311" s="136" t="s">
        <v>2153</v>
      </c>
      <c r="B311" s="135" t="s">
        <v>3911</v>
      </c>
      <c r="C311" s="136" t="s">
        <v>3912</v>
      </c>
      <c r="D311" s="136" t="s">
        <v>1622</v>
      </c>
      <c r="E311" s="136" t="s">
        <v>1571</v>
      </c>
      <c r="F311" s="419">
        <v>43100</v>
      </c>
      <c r="G311" s="140">
        <v>1669.4989</v>
      </c>
      <c r="H311" s="140">
        <v>15</v>
      </c>
      <c r="I311" s="143" t="s">
        <v>189</v>
      </c>
      <c r="J311" s="140">
        <v>81.642170000000021</v>
      </c>
      <c r="K311" s="140">
        <v>563.33142000000009</v>
      </c>
      <c r="L311" s="140">
        <v>665.91466000000003</v>
      </c>
      <c r="M311" s="143"/>
      <c r="N311" s="143"/>
      <c r="O311" s="623" t="e">
        <f t="shared" si="17"/>
        <v>#DIV/0!</v>
      </c>
      <c r="P311" s="140"/>
    </row>
    <row r="312" spans="1:16" s="382" customFormat="1" ht="29.45" customHeight="1">
      <c r="A312" s="138" t="s">
        <v>2155</v>
      </c>
      <c r="B312" s="137" t="s">
        <v>3913</v>
      </c>
      <c r="C312" s="138" t="s">
        <v>3914</v>
      </c>
      <c r="D312" s="138" t="s">
        <v>744</v>
      </c>
      <c r="E312" s="138" t="s">
        <v>1571</v>
      </c>
      <c r="F312" s="420">
        <v>42735</v>
      </c>
      <c r="G312" s="141">
        <v>1665.7160000000001</v>
      </c>
      <c r="H312" s="141">
        <v>9</v>
      </c>
      <c r="I312" s="142" t="s">
        <v>189</v>
      </c>
      <c r="J312" s="141">
        <v>-14.234</v>
      </c>
      <c r="K312" s="141">
        <v>883.76300000000003</v>
      </c>
      <c r="L312" s="141">
        <v>907.38200000000006</v>
      </c>
      <c r="M312" s="142"/>
      <c r="N312" s="142"/>
      <c r="O312" s="623" t="e">
        <f t="shared" si="17"/>
        <v>#DIV/0!</v>
      </c>
      <c r="P312" s="140"/>
    </row>
    <row r="313" spans="1:16" s="382" customFormat="1" ht="29.45" customHeight="1">
      <c r="A313" s="136" t="s">
        <v>2157</v>
      </c>
      <c r="B313" s="135" t="s">
        <v>3915</v>
      </c>
      <c r="C313" s="136" t="s">
        <v>3916</v>
      </c>
      <c r="D313" s="136" t="s">
        <v>811</v>
      </c>
      <c r="E313" s="136" t="s">
        <v>1571</v>
      </c>
      <c r="F313" s="419">
        <v>43100</v>
      </c>
      <c r="G313" s="140">
        <v>1635.6780000000001</v>
      </c>
      <c r="H313" s="143" t="s">
        <v>189</v>
      </c>
      <c r="I313" s="140">
        <v>-131.24100000000001</v>
      </c>
      <c r="J313" s="140">
        <v>-357.79399999999998</v>
      </c>
      <c r="K313" s="140">
        <v>278.68900000000002</v>
      </c>
      <c r="L313" s="140">
        <v>-161.565</v>
      </c>
      <c r="M313" s="143"/>
      <c r="N313" s="143"/>
      <c r="O313" s="623" t="e">
        <f t="shared" si="17"/>
        <v>#DIV/0!</v>
      </c>
      <c r="P313" s="140"/>
    </row>
    <row r="314" spans="1:16" s="382" customFormat="1" ht="29.45" customHeight="1">
      <c r="A314" s="138" t="s">
        <v>2159</v>
      </c>
      <c r="B314" s="137" t="s">
        <v>3917</v>
      </c>
      <c r="C314" s="138" t="s">
        <v>3918</v>
      </c>
      <c r="D314" s="138" t="s">
        <v>1456</v>
      </c>
      <c r="E314" s="138" t="s">
        <v>1571</v>
      </c>
      <c r="F314" s="420">
        <v>43100</v>
      </c>
      <c r="G314" s="141">
        <v>1613.1591600000002</v>
      </c>
      <c r="H314" s="141">
        <v>15</v>
      </c>
      <c r="I314" s="142" t="s">
        <v>189</v>
      </c>
      <c r="J314" s="141">
        <v>101.58806</v>
      </c>
      <c r="K314" s="141">
        <v>431.13241000000005</v>
      </c>
      <c r="L314" s="141">
        <v>608.29223999999999</v>
      </c>
      <c r="M314" s="142"/>
      <c r="N314" s="142"/>
      <c r="O314" s="623" t="e">
        <f t="shared" si="17"/>
        <v>#DIV/0!</v>
      </c>
      <c r="P314" s="140"/>
    </row>
    <row r="315" spans="1:16" s="382" customFormat="1" ht="17.100000000000001" customHeight="1">
      <c r="A315" s="136" t="s">
        <v>2161</v>
      </c>
      <c r="B315" s="135" t="s">
        <v>3919</v>
      </c>
      <c r="C315" s="136" t="s">
        <v>3920</v>
      </c>
      <c r="D315" s="136" t="s">
        <v>811</v>
      </c>
      <c r="E315" s="136" t="s">
        <v>1571</v>
      </c>
      <c r="F315" s="419">
        <v>43100</v>
      </c>
      <c r="G315" s="140">
        <v>1581.5944999999999</v>
      </c>
      <c r="H315" s="140">
        <v>41</v>
      </c>
      <c r="I315" s="143" t="s">
        <v>189</v>
      </c>
      <c r="J315" s="140">
        <v>-3667.84267</v>
      </c>
      <c r="K315" s="140">
        <v>2963.6040000000003</v>
      </c>
      <c r="L315" s="140">
        <v>-534.52294900000004</v>
      </c>
      <c r="M315" s="140">
        <v>23</v>
      </c>
      <c r="N315" s="140">
        <v>21</v>
      </c>
      <c r="O315" s="623">
        <f t="shared" si="17"/>
        <v>0.52272727272727271</v>
      </c>
      <c r="P315" s="140">
        <f>O315*K315</f>
        <v>1549.1566363636364</v>
      </c>
    </row>
    <row r="316" spans="1:16" s="382" customFormat="1" ht="29.45" customHeight="1">
      <c r="A316" s="138" t="s">
        <v>2163</v>
      </c>
      <c r="B316" s="137" t="s">
        <v>3921</v>
      </c>
      <c r="C316" s="138" t="s">
        <v>3922</v>
      </c>
      <c r="D316" s="138" t="s">
        <v>1429</v>
      </c>
      <c r="E316" s="138" t="s">
        <v>1571</v>
      </c>
      <c r="F316" s="420">
        <v>43100</v>
      </c>
      <c r="G316" s="141">
        <v>1580.8661200000001</v>
      </c>
      <c r="H316" s="141">
        <v>16</v>
      </c>
      <c r="I316" s="141">
        <v>29.90531</v>
      </c>
      <c r="J316" s="141">
        <v>94.700150000000008</v>
      </c>
      <c r="K316" s="141">
        <v>492.71565999999996</v>
      </c>
      <c r="L316" s="141">
        <v>705.86995000000013</v>
      </c>
      <c r="M316" s="141">
        <v>1</v>
      </c>
      <c r="N316" s="141">
        <v>27</v>
      </c>
      <c r="O316" s="623">
        <f t="shared" si="17"/>
        <v>3.5714285714285712E-2</v>
      </c>
      <c r="P316" s="140">
        <f>O316*K316</f>
        <v>17.596987857142853</v>
      </c>
    </row>
    <row r="317" spans="1:16" s="382" customFormat="1" ht="29.45" customHeight="1">
      <c r="A317" s="136" t="s">
        <v>2165</v>
      </c>
      <c r="B317" s="135" t="s">
        <v>3923</v>
      </c>
      <c r="C317" s="136" t="s">
        <v>3924</v>
      </c>
      <c r="D317" s="136" t="s">
        <v>811</v>
      </c>
      <c r="E317" s="136" t="s">
        <v>1571</v>
      </c>
      <c r="F317" s="419">
        <v>43100</v>
      </c>
      <c r="G317" s="140">
        <v>1519.7803490000001</v>
      </c>
      <c r="H317" s="140">
        <v>36</v>
      </c>
      <c r="I317" s="143" t="s">
        <v>189</v>
      </c>
      <c r="J317" s="140">
        <v>-49.854340000000008</v>
      </c>
      <c r="K317" s="140">
        <v>980.82756999999992</v>
      </c>
      <c r="L317" s="140">
        <v>934.60441900000001</v>
      </c>
      <c r="M317" s="143"/>
      <c r="N317" s="143"/>
      <c r="O317" s="623" t="e">
        <f t="shared" si="17"/>
        <v>#DIV/0!</v>
      </c>
      <c r="P317" s="140"/>
    </row>
    <row r="318" spans="1:16" s="382" customFormat="1" ht="17.100000000000001" customHeight="1">
      <c r="A318" s="138" t="s">
        <v>2167</v>
      </c>
      <c r="B318" s="137" t="s">
        <v>3925</v>
      </c>
      <c r="C318" s="138" t="s">
        <v>3926</v>
      </c>
      <c r="D318" s="138" t="s">
        <v>1208</v>
      </c>
      <c r="E318" s="138" t="s">
        <v>1571</v>
      </c>
      <c r="F318" s="420">
        <v>43100</v>
      </c>
      <c r="G318" s="141">
        <v>1485.2019499999999</v>
      </c>
      <c r="H318" s="141">
        <v>2</v>
      </c>
      <c r="I318" s="142" t="s">
        <v>189</v>
      </c>
      <c r="J318" s="141">
        <v>19.702099999999998</v>
      </c>
      <c r="K318" s="141">
        <v>100.68948</v>
      </c>
      <c r="L318" s="141">
        <v>124.107719</v>
      </c>
      <c r="M318" s="142"/>
      <c r="N318" s="142"/>
      <c r="O318" s="623" t="e">
        <f t="shared" si="17"/>
        <v>#DIV/0!</v>
      </c>
      <c r="P318" s="140"/>
    </row>
    <row r="319" spans="1:16" s="382" customFormat="1" ht="29.45" customHeight="1">
      <c r="A319" s="136" t="s">
        <v>2169</v>
      </c>
      <c r="B319" s="135" t="s">
        <v>3927</v>
      </c>
      <c r="C319" s="136" t="s">
        <v>3928</v>
      </c>
      <c r="D319" s="136" t="s">
        <v>811</v>
      </c>
      <c r="E319" s="136" t="s">
        <v>1571</v>
      </c>
      <c r="F319" s="419">
        <v>43100</v>
      </c>
      <c r="G319" s="140">
        <v>1462.38141</v>
      </c>
      <c r="H319" s="140">
        <v>19</v>
      </c>
      <c r="I319" s="140">
        <v>-109.52819000000001</v>
      </c>
      <c r="J319" s="140">
        <v>-415.21111000000002</v>
      </c>
      <c r="K319" s="140">
        <v>737.37495000000013</v>
      </c>
      <c r="L319" s="140">
        <v>239.28248899999997</v>
      </c>
      <c r="M319" s="143"/>
      <c r="N319" s="143"/>
      <c r="O319" s="623" t="e">
        <f t="shared" si="17"/>
        <v>#DIV/0!</v>
      </c>
      <c r="P319" s="140"/>
    </row>
    <row r="320" spans="1:16" s="382" customFormat="1" ht="17.100000000000001" customHeight="1">
      <c r="A320" s="138" t="s">
        <v>2171</v>
      </c>
      <c r="B320" s="137" t="s">
        <v>3929</v>
      </c>
      <c r="C320" s="138" t="s">
        <v>3930</v>
      </c>
      <c r="D320" s="138" t="s">
        <v>1312</v>
      </c>
      <c r="E320" s="138" t="s">
        <v>1571</v>
      </c>
      <c r="F320" s="420">
        <v>43100</v>
      </c>
      <c r="G320" s="141">
        <v>1433.6844099999998</v>
      </c>
      <c r="H320" s="141">
        <v>7</v>
      </c>
      <c r="I320" s="142" t="s">
        <v>189</v>
      </c>
      <c r="J320" s="141">
        <v>33.982659999999996</v>
      </c>
      <c r="K320" s="141">
        <v>424.40947000000006</v>
      </c>
      <c r="L320" s="141">
        <v>497.36518000000001</v>
      </c>
      <c r="M320" s="142"/>
      <c r="N320" s="142"/>
      <c r="O320" s="623" t="e">
        <f t="shared" si="17"/>
        <v>#DIV/0!</v>
      </c>
      <c r="P320" s="140"/>
    </row>
    <row r="321" spans="1:16" s="382" customFormat="1" ht="29.45" customHeight="1">
      <c r="A321" s="136" t="s">
        <v>2173</v>
      </c>
      <c r="B321" s="135" t="s">
        <v>3931</v>
      </c>
      <c r="C321" s="136" t="s">
        <v>3932</v>
      </c>
      <c r="D321" s="136" t="s">
        <v>3933</v>
      </c>
      <c r="E321" s="136" t="s">
        <v>1571</v>
      </c>
      <c r="F321" s="419">
        <v>43100</v>
      </c>
      <c r="G321" s="140">
        <v>1427.48803</v>
      </c>
      <c r="H321" s="140">
        <v>12</v>
      </c>
      <c r="I321" s="143" t="s">
        <v>189</v>
      </c>
      <c r="J321" s="140">
        <v>71.647949999999994</v>
      </c>
      <c r="K321" s="140">
        <v>522.53173000000004</v>
      </c>
      <c r="L321" s="140">
        <v>608.99736000000007</v>
      </c>
      <c r="M321" s="143"/>
      <c r="N321" s="143"/>
      <c r="O321" s="623" t="e">
        <f t="shared" si="17"/>
        <v>#DIV/0!</v>
      </c>
      <c r="P321" s="140"/>
    </row>
    <row r="322" spans="1:16" s="382" customFormat="1" ht="29.45" customHeight="1">
      <c r="A322" s="138" t="s">
        <v>2175</v>
      </c>
      <c r="B322" s="137" t="s">
        <v>3934</v>
      </c>
      <c r="C322" s="138" t="s">
        <v>3935</v>
      </c>
      <c r="D322" s="138" t="s">
        <v>811</v>
      </c>
      <c r="E322" s="138" t="s">
        <v>1571</v>
      </c>
      <c r="F322" s="420">
        <v>43100</v>
      </c>
      <c r="G322" s="141">
        <v>1415.7366090000003</v>
      </c>
      <c r="H322" s="141">
        <v>10</v>
      </c>
      <c r="I322" s="141">
        <v>31.364319999999999</v>
      </c>
      <c r="J322" s="141">
        <v>131.83338999999998</v>
      </c>
      <c r="K322" s="141">
        <v>370.85139000000004</v>
      </c>
      <c r="L322" s="141">
        <v>543.67466000000002</v>
      </c>
      <c r="M322" s="142"/>
      <c r="N322" s="142"/>
      <c r="O322" s="623" t="e">
        <f t="shared" si="17"/>
        <v>#DIV/0!</v>
      </c>
      <c r="P322" s="140"/>
    </row>
    <row r="323" spans="1:16" s="382" customFormat="1" ht="17.100000000000001" customHeight="1">
      <c r="A323" s="136" t="s">
        <v>2177</v>
      </c>
      <c r="B323" s="135" t="s">
        <v>3936</v>
      </c>
      <c r="C323" s="136" t="s">
        <v>3937</v>
      </c>
      <c r="D323" s="136" t="s">
        <v>969</v>
      </c>
      <c r="E323" s="136" t="s">
        <v>1571</v>
      </c>
      <c r="F323" s="419">
        <v>43100</v>
      </c>
      <c r="G323" s="140">
        <v>1413.3914299999999</v>
      </c>
      <c r="H323" s="140">
        <v>14</v>
      </c>
      <c r="I323" s="140">
        <v>-10.71247</v>
      </c>
      <c r="J323" s="140">
        <v>-33.922810000000005</v>
      </c>
      <c r="K323" s="140">
        <v>501.25765999999999</v>
      </c>
      <c r="L323" s="140">
        <v>474.05726000000004</v>
      </c>
      <c r="M323" s="140">
        <v>2.64</v>
      </c>
      <c r="N323" s="140">
        <v>11.350000000000001</v>
      </c>
      <c r="O323" s="623">
        <f t="shared" si="17"/>
        <v>0.18870621872766261</v>
      </c>
      <c r="P323" s="140">
        <f>O323*K323</f>
        <v>94.590437626876337</v>
      </c>
    </row>
    <row r="324" spans="1:16" s="382" customFormat="1" ht="29.45" customHeight="1">
      <c r="A324" s="138" t="s">
        <v>2179</v>
      </c>
      <c r="B324" s="137" t="s">
        <v>3938</v>
      </c>
      <c r="C324" s="138" t="s">
        <v>3939</v>
      </c>
      <c r="D324" s="138" t="s">
        <v>1112</v>
      </c>
      <c r="E324" s="138" t="s">
        <v>1571</v>
      </c>
      <c r="F324" s="420">
        <v>43100</v>
      </c>
      <c r="G324" s="141">
        <v>1385.5000500000001</v>
      </c>
      <c r="H324" s="141">
        <v>13</v>
      </c>
      <c r="I324" s="141">
        <v>1.6442400000000001</v>
      </c>
      <c r="J324" s="141">
        <v>10.81208</v>
      </c>
      <c r="K324" s="141">
        <v>417.65603000000004</v>
      </c>
      <c r="L324" s="141">
        <v>441.47733000000005</v>
      </c>
      <c r="M324" s="142"/>
      <c r="N324" s="142"/>
      <c r="O324" s="623" t="e">
        <f t="shared" si="17"/>
        <v>#DIV/0!</v>
      </c>
      <c r="P324" s="140"/>
    </row>
    <row r="325" spans="1:16" s="382" customFormat="1" ht="17.100000000000001" customHeight="1">
      <c r="A325" s="136" t="s">
        <v>2181</v>
      </c>
      <c r="B325" s="135" t="s">
        <v>3940</v>
      </c>
      <c r="C325" s="136" t="s">
        <v>3941</v>
      </c>
      <c r="D325" s="136" t="s">
        <v>811</v>
      </c>
      <c r="E325" s="136" t="s">
        <v>1571</v>
      </c>
      <c r="F325" s="419">
        <v>43100</v>
      </c>
      <c r="G325" s="140">
        <v>1294.0463</v>
      </c>
      <c r="H325" s="140">
        <v>5</v>
      </c>
      <c r="I325" s="143" t="s">
        <v>189</v>
      </c>
      <c r="J325" s="140">
        <v>-16.641116999999998</v>
      </c>
      <c r="K325" s="140">
        <v>162.19808</v>
      </c>
      <c r="L325" s="140">
        <v>173.005032</v>
      </c>
      <c r="M325" s="140">
        <v>3</v>
      </c>
      <c r="N325" s="140">
        <v>2</v>
      </c>
      <c r="O325" s="623">
        <f t="shared" si="17"/>
        <v>0.6</v>
      </c>
      <c r="P325" s="140">
        <f>O325*K325</f>
        <v>97.318848000000003</v>
      </c>
    </row>
    <row r="326" spans="1:16" s="382" customFormat="1" ht="43.15" customHeight="1">
      <c r="A326" s="138" t="s">
        <v>2183</v>
      </c>
      <c r="B326" s="137" t="s">
        <v>3942</v>
      </c>
      <c r="C326" s="138" t="s">
        <v>3943</v>
      </c>
      <c r="D326" s="138" t="s">
        <v>1456</v>
      </c>
      <c r="E326" s="138" t="s">
        <v>1571</v>
      </c>
      <c r="F326" s="420">
        <v>43100</v>
      </c>
      <c r="G326" s="141">
        <v>1246.1337700000001</v>
      </c>
      <c r="H326" s="141">
        <v>7</v>
      </c>
      <c r="I326" s="141">
        <v>-41.682970000000005</v>
      </c>
      <c r="J326" s="141">
        <v>84.37478999999999</v>
      </c>
      <c r="K326" s="141">
        <v>673.28118999999992</v>
      </c>
      <c r="L326" s="141">
        <v>809.43606900000009</v>
      </c>
      <c r="M326" s="141">
        <v>6.06</v>
      </c>
      <c r="N326" s="141">
        <v>0.62000000000000011</v>
      </c>
      <c r="O326" s="623">
        <f t="shared" si="17"/>
        <v>0.90718562874251496</v>
      </c>
      <c r="P326" s="140">
        <f>O326*K326</f>
        <v>610.79101967065856</v>
      </c>
    </row>
    <row r="327" spans="1:16" s="382" customFormat="1" ht="29.45" customHeight="1">
      <c r="A327" s="136" t="s">
        <v>2185</v>
      </c>
      <c r="B327" s="135" t="s">
        <v>3944</v>
      </c>
      <c r="C327" s="136" t="s">
        <v>3945</v>
      </c>
      <c r="D327" s="136" t="s">
        <v>811</v>
      </c>
      <c r="E327" s="136" t="s">
        <v>1571</v>
      </c>
      <c r="F327" s="419">
        <v>43100</v>
      </c>
      <c r="G327" s="140">
        <v>1198.75477</v>
      </c>
      <c r="H327" s="140">
        <v>5</v>
      </c>
      <c r="I327" s="140">
        <v>1.0311170000000001</v>
      </c>
      <c r="J327" s="140">
        <v>4.5249999999999999E-2</v>
      </c>
      <c r="K327" s="140">
        <v>155.01476000000002</v>
      </c>
      <c r="L327" s="140">
        <v>180.93317800000003</v>
      </c>
      <c r="M327" s="140">
        <v>1</v>
      </c>
      <c r="N327" s="140">
        <v>4</v>
      </c>
      <c r="O327" s="623">
        <f t="shared" si="17"/>
        <v>0.2</v>
      </c>
      <c r="P327" s="140">
        <f>O327*K327</f>
        <v>31.002952000000008</v>
      </c>
    </row>
    <row r="328" spans="1:16" s="382" customFormat="1" ht="29.45" customHeight="1">
      <c r="A328" s="138" t="s">
        <v>2187</v>
      </c>
      <c r="B328" s="139" t="s">
        <v>2648</v>
      </c>
      <c r="C328" s="138" t="s">
        <v>1443</v>
      </c>
      <c r="D328" s="138" t="s">
        <v>1429</v>
      </c>
      <c r="E328" s="138" t="s">
        <v>1571</v>
      </c>
      <c r="F328" s="420">
        <v>40178</v>
      </c>
      <c r="G328" s="141">
        <v>1174.1968200000001</v>
      </c>
      <c r="H328" s="141">
        <v>16</v>
      </c>
      <c r="I328" s="141">
        <v>9.4297700000000013</v>
      </c>
      <c r="J328" s="141">
        <v>29.860950000000003</v>
      </c>
      <c r="K328" s="141">
        <v>478.48554000000001</v>
      </c>
      <c r="L328" s="141">
        <v>522.93689000000006</v>
      </c>
      <c r="M328" s="142"/>
      <c r="N328" s="142"/>
      <c r="O328" s="623" t="e">
        <f t="shared" si="17"/>
        <v>#DIV/0!</v>
      </c>
      <c r="P328" s="140"/>
    </row>
    <row r="329" spans="1:16" s="382" customFormat="1" ht="29.45" customHeight="1">
      <c r="A329" s="136" t="s">
        <v>2189</v>
      </c>
      <c r="B329" s="421" t="s">
        <v>3946</v>
      </c>
      <c r="C329" s="136" t="s">
        <v>3947</v>
      </c>
      <c r="D329" s="136" t="s">
        <v>1622</v>
      </c>
      <c r="E329" s="136" t="s">
        <v>1571</v>
      </c>
      <c r="F329" s="419">
        <v>42004</v>
      </c>
      <c r="G329" s="140">
        <v>1163.8335099999999</v>
      </c>
      <c r="H329" s="140">
        <v>3</v>
      </c>
      <c r="I329" s="140">
        <v>-8.4079300000000003</v>
      </c>
      <c r="J329" s="140">
        <v>92.608919999999998</v>
      </c>
      <c r="K329" s="140">
        <v>198.52341000000001</v>
      </c>
      <c r="L329" s="140">
        <v>310.96448000000004</v>
      </c>
      <c r="M329" s="143"/>
      <c r="N329" s="143"/>
      <c r="O329" s="623" t="e">
        <f t="shared" si="17"/>
        <v>#DIV/0!</v>
      </c>
      <c r="P329" s="140"/>
    </row>
    <row r="330" spans="1:16" s="382" customFormat="1" ht="17.100000000000001" customHeight="1">
      <c r="A330" s="138" t="s">
        <v>2191</v>
      </c>
      <c r="B330" s="137" t="s">
        <v>3948</v>
      </c>
      <c r="C330" s="138" t="s">
        <v>3949</v>
      </c>
      <c r="D330" s="138" t="s">
        <v>1501</v>
      </c>
      <c r="E330" s="138" t="s">
        <v>1571</v>
      </c>
      <c r="F330" s="420">
        <v>43100</v>
      </c>
      <c r="G330" s="141">
        <v>1145.09222</v>
      </c>
      <c r="H330" s="141">
        <v>4</v>
      </c>
      <c r="I330" s="141">
        <v>9.312479999999999</v>
      </c>
      <c r="J330" s="141">
        <v>78.873870000000011</v>
      </c>
      <c r="K330" s="141">
        <v>194.22797</v>
      </c>
      <c r="L330" s="141">
        <v>296.15285</v>
      </c>
      <c r="M330" s="142"/>
      <c r="N330" s="142"/>
      <c r="O330" s="623" t="e">
        <f t="shared" si="17"/>
        <v>#DIV/0!</v>
      </c>
      <c r="P330" s="140"/>
    </row>
    <row r="331" spans="1:16" s="382" customFormat="1" ht="17.100000000000001" customHeight="1">
      <c r="A331" s="136" t="s">
        <v>2193</v>
      </c>
      <c r="B331" s="135" t="s">
        <v>2674</v>
      </c>
      <c r="C331" s="136" t="s">
        <v>918</v>
      </c>
      <c r="D331" s="136" t="s">
        <v>811</v>
      </c>
      <c r="E331" s="136" t="s">
        <v>1571</v>
      </c>
      <c r="F331" s="419">
        <v>43100</v>
      </c>
      <c r="G331" s="140">
        <v>1128.7331100000001</v>
      </c>
      <c r="H331" s="140">
        <v>2</v>
      </c>
      <c r="I331" s="140">
        <v>2.7331300000000001</v>
      </c>
      <c r="J331" s="140">
        <v>9.5468299999999999</v>
      </c>
      <c r="K331" s="140">
        <v>171.86962</v>
      </c>
      <c r="L331" s="140">
        <v>207.37461999999999</v>
      </c>
      <c r="M331" s="143"/>
      <c r="N331" s="143"/>
      <c r="O331" s="623" t="e">
        <f t="shared" si="17"/>
        <v>#DIV/0!</v>
      </c>
      <c r="P331" s="140"/>
    </row>
    <row r="332" spans="1:16" s="382" customFormat="1" ht="17.100000000000001" customHeight="1">
      <c r="A332" s="138" t="s">
        <v>2195</v>
      </c>
      <c r="B332" s="137" t="s">
        <v>3950</v>
      </c>
      <c r="C332" s="138" t="s">
        <v>3951</v>
      </c>
      <c r="D332" s="138" t="s">
        <v>1451</v>
      </c>
      <c r="E332" s="138" t="s">
        <v>1571</v>
      </c>
      <c r="F332" s="420">
        <v>43100</v>
      </c>
      <c r="G332" s="141">
        <v>1089.5787399999999</v>
      </c>
      <c r="H332" s="141">
        <v>8</v>
      </c>
      <c r="I332" s="142" t="s">
        <v>189</v>
      </c>
      <c r="J332" s="141">
        <v>23.183560000000003</v>
      </c>
      <c r="K332" s="141">
        <v>150.33073000000002</v>
      </c>
      <c r="L332" s="141">
        <v>174.43211000000002</v>
      </c>
      <c r="M332" s="142"/>
      <c r="N332" s="142"/>
      <c r="O332" s="623" t="e">
        <f t="shared" si="17"/>
        <v>#DIV/0!</v>
      </c>
      <c r="P332" s="140"/>
    </row>
    <row r="333" spans="1:16" s="382" customFormat="1" ht="17.100000000000001" customHeight="1">
      <c r="A333" s="136" t="s">
        <v>2197</v>
      </c>
      <c r="B333" s="135" t="s">
        <v>3952</v>
      </c>
      <c r="C333" s="136" t="s">
        <v>3953</v>
      </c>
      <c r="D333" s="136" t="s">
        <v>2364</v>
      </c>
      <c r="E333" s="136" t="s">
        <v>1571</v>
      </c>
      <c r="F333" s="419">
        <v>43100</v>
      </c>
      <c r="G333" s="140">
        <v>1001.8698500000002</v>
      </c>
      <c r="H333" s="140">
        <v>1</v>
      </c>
      <c r="I333" s="140">
        <v>14.419840000000001</v>
      </c>
      <c r="J333" s="140">
        <v>54.825960000000002</v>
      </c>
      <c r="K333" s="140">
        <v>60.061430000000001</v>
      </c>
      <c r="L333" s="140">
        <v>130.58399</v>
      </c>
      <c r="M333" s="140">
        <v>1</v>
      </c>
      <c r="N333" s="143"/>
      <c r="O333" s="623">
        <f t="shared" si="17"/>
        <v>1</v>
      </c>
      <c r="P333" s="140">
        <f>O333*K333</f>
        <v>60.061430000000001</v>
      </c>
    </row>
    <row r="334" spans="1:16" s="382" customFormat="1" ht="17.100000000000001" customHeight="1">
      <c r="A334" s="138" t="s">
        <v>2199</v>
      </c>
      <c r="B334" s="137" t="s">
        <v>3954</v>
      </c>
      <c r="C334" s="138" t="s">
        <v>3955</v>
      </c>
      <c r="D334" s="138" t="s">
        <v>1312</v>
      </c>
      <c r="E334" s="138" t="s">
        <v>1571</v>
      </c>
      <c r="F334" s="420">
        <v>43100</v>
      </c>
      <c r="G334" s="141">
        <v>983.93851000000006</v>
      </c>
      <c r="H334" s="141">
        <v>15</v>
      </c>
      <c r="I334" s="142" t="s">
        <v>189</v>
      </c>
      <c r="J334" s="141">
        <v>1.1149899999999999</v>
      </c>
      <c r="K334" s="141">
        <v>448.31421</v>
      </c>
      <c r="L334" s="141">
        <v>464.77043000000003</v>
      </c>
      <c r="M334" s="141">
        <v>1</v>
      </c>
      <c r="N334" s="141">
        <v>12</v>
      </c>
      <c r="O334" s="623">
        <f t="shared" si="17"/>
        <v>7.6923076923076927E-2</v>
      </c>
      <c r="P334" s="140">
        <f>O334*K334</f>
        <v>34.485708461538465</v>
      </c>
    </row>
    <row r="335" spans="1:16" s="382" customFormat="1" ht="29.45" customHeight="1">
      <c r="A335" s="136" t="s">
        <v>2201</v>
      </c>
      <c r="B335" s="135" t="s">
        <v>3956</v>
      </c>
      <c r="C335" s="136" t="s">
        <v>3957</v>
      </c>
      <c r="D335" s="136" t="s">
        <v>1461</v>
      </c>
      <c r="E335" s="136" t="s">
        <v>1571</v>
      </c>
      <c r="F335" s="419">
        <v>43100</v>
      </c>
      <c r="G335" s="140">
        <v>972.12214000000006</v>
      </c>
      <c r="H335" s="140">
        <v>14</v>
      </c>
      <c r="I335" s="143" t="s">
        <v>189</v>
      </c>
      <c r="J335" s="140">
        <v>33.682119999999998</v>
      </c>
      <c r="K335" s="140">
        <v>660.29680000000008</v>
      </c>
      <c r="L335" s="140">
        <v>696.54206999999997</v>
      </c>
      <c r="M335" s="143"/>
      <c r="N335" s="143"/>
      <c r="O335" s="623" t="e">
        <f t="shared" si="17"/>
        <v>#DIV/0!</v>
      </c>
      <c r="P335" s="140"/>
    </row>
    <row r="336" spans="1:16" s="382" customFormat="1" ht="17.100000000000001" customHeight="1">
      <c r="A336" s="138" t="s">
        <v>2203</v>
      </c>
      <c r="B336" s="137" t="s">
        <v>3958</v>
      </c>
      <c r="C336" s="138" t="s">
        <v>3959</v>
      </c>
      <c r="D336" s="138" t="s">
        <v>811</v>
      </c>
      <c r="E336" s="138" t="s">
        <v>1571</v>
      </c>
      <c r="F336" s="420">
        <v>43100</v>
      </c>
      <c r="G336" s="141">
        <v>953.84087</v>
      </c>
      <c r="H336" s="141">
        <v>10</v>
      </c>
      <c r="I336" s="141">
        <v>1.75004</v>
      </c>
      <c r="J336" s="141">
        <v>31.668460000000003</v>
      </c>
      <c r="K336" s="141">
        <v>557.90535000000011</v>
      </c>
      <c r="L336" s="141">
        <v>619.77336000000014</v>
      </c>
      <c r="M336" s="142"/>
      <c r="N336" s="142"/>
      <c r="O336" s="623" t="e">
        <f t="shared" si="17"/>
        <v>#DIV/0!</v>
      </c>
      <c r="P336" s="140"/>
    </row>
    <row r="337" spans="1:16" s="382" customFormat="1" ht="17.100000000000001" customHeight="1">
      <c r="A337" s="136" t="s">
        <v>2205</v>
      </c>
      <c r="B337" s="135" t="s">
        <v>3960</v>
      </c>
      <c r="C337" s="136" t="s">
        <v>3961</v>
      </c>
      <c r="D337" s="136" t="s">
        <v>1203</v>
      </c>
      <c r="E337" s="136" t="s">
        <v>1571</v>
      </c>
      <c r="F337" s="419">
        <v>43100</v>
      </c>
      <c r="G337" s="140">
        <v>952.99361999999996</v>
      </c>
      <c r="H337" s="140">
        <v>3</v>
      </c>
      <c r="I337" s="140">
        <v>7.4311200000000008</v>
      </c>
      <c r="J337" s="140">
        <v>55.62717</v>
      </c>
      <c r="K337" s="140">
        <v>101.52506</v>
      </c>
      <c r="L337" s="140">
        <v>171.68181000000001</v>
      </c>
      <c r="M337" s="143"/>
      <c r="N337" s="140">
        <v>3</v>
      </c>
      <c r="O337" s="623">
        <f t="shared" si="17"/>
        <v>0</v>
      </c>
      <c r="P337" s="140">
        <f>O337*K337</f>
        <v>0</v>
      </c>
    </row>
    <row r="338" spans="1:16" s="382" customFormat="1" ht="29.45" customHeight="1">
      <c r="A338" s="138" t="s">
        <v>2207</v>
      </c>
      <c r="B338" s="137" t="s">
        <v>3962</v>
      </c>
      <c r="C338" s="138" t="s">
        <v>3963</v>
      </c>
      <c r="D338" s="138" t="s">
        <v>1461</v>
      </c>
      <c r="E338" s="138" t="s">
        <v>1571</v>
      </c>
      <c r="F338" s="420">
        <v>43100</v>
      </c>
      <c r="G338" s="141">
        <v>906.20395000000008</v>
      </c>
      <c r="H338" s="141">
        <v>10</v>
      </c>
      <c r="I338" s="141">
        <v>0.26434000000000002</v>
      </c>
      <c r="J338" s="141">
        <v>-10.364730000000002</v>
      </c>
      <c r="K338" s="141">
        <v>278.00296000000003</v>
      </c>
      <c r="L338" s="141">
        <v>284.33307000000002</v>
      </c>
      <c r="M338" s="141">
        <v>4</v>
      </c>
      <c r="N338" s="141">
        <v>5</v>
      </c>
      <c r="O338" s="623">
        <f t="shared" si="17"/>
        <v>0.44444444444444442</v>
      </c>
      <c r="P338" s="140">
        <f>O338*K338</f>
        <v>123.55687111111112</v>
      </c>
    </row>
    <row r="339" spans="1:16" s="382" customFormat="1" ht="29.45" customHeight="1">
      <c r="A339" s="136" t="s">
        <v>2209</v>
      </c>
      <c r="B339" s="135" t="s">
        <v>3964</v>
      </c>
      <c r="C339" s="136" t="s">
        <v>3965</v>
      </c>
      <c r="D339" s="136" t="s">
        <v>1595</v>
      </c>
      <c r="E339" s="136" t="s">
        <v>1571</v>
      </c>
      <c r="F339" s="419">
        <v>43100</v>
      </c>
      <c r="G339" s="140">
        <v>882.02413999999999</v>
      </c>
      <c r="H339" s="140">
        <v>16</v>
      </c>
      <c r="I339" s="140">
        <v>8.5535700000000006</v>
      </c>
      <c r="J339" s="140">
        <v>27.086300000000001</v>
      </c>
      <c r="K339" s="140">
        <v>638.74454000000003</v>
      </c>
      <c r="L339" s="140">
        <v>685.39436999999998</v>
      </c>
      <c r="M339" s="143"/>
      <c r="N339" s="143"/>
      <c r="O339" s="623" t="e">
        <f t="shared" si="17"/>
        <v>#DIV/0!</v>
      </c>
      <c r="P339" s="140"/>
    </row>
    <row r="340" spans="1:16" s="382" customFormat="1" ht="17.100000000000001" customHeight="1">
      <c r="A340" s="138" t="s">
        <v>2211</v>
      </c>
      <c r="B340" s="137" t="s">
        <v>3966</v>
      </c>
      <c r="C340" s="138" t="s">
        <v>3967</v>
      </c>
      <c r="D340" s="138" t="s">
        <v>1320</v>
      </c>
      <c r="E340" s="138" t="s">
        <v>1571</v>
      </c>
      <c r="F340" s="420">
        <v>43100</v>
      </c>
      <c r="G340" s="141">
        <v>879.70730900000001</v>
      </c>
      <c r="H340" s="141">
        <v>13</v>
      </c>
      <c r="I340" s="141">
        <v>3.42842</v>
      </c>
      <c r="J340" s="141">
        <v>22.54447</v>
      </c>
      <c r="K340" s="141">
        <v>501.53092000000004</v>
      </c>
      <c r="L340" s="141">
        <v>537.74415899999997</v>
      </c>
      <c r="M340" s="142"/>
      <c r="N340" s="142"/>
      <c r="O340" s="623" t="e">
        <f t="shared" si="17"/>
        <v>#DIV/0!</v>
      </c>
      <c r="P340" s="140"/>
    </row>
    <row r="341" spans="1:16" s="382" customFormat="1" ht="29.45" customHeight="1">
      <c r="A341" s="136" t="s">
        <v>2213</v>
      </c>
      <c r="B341" s="135" t="s">
        <v>3968</v>
      </c>
      <c r="C341" s="136" t="s">
        <v>3969</v>
      </c>
      <c r="D341" s="136" t="s">
        <v>1266</v>
      </c>
      <c r="E341" s="136" t="s">
        <v>1571</v>
      </c>
      <c r="F341" s="419">
        <v>42735</v>
      </c>
      <c r="G341" s="140">
        <v>871.16497000000004</v>
      </c>
      <c r="H341" s="140">
        <v>11</v>
      </c>
      <c r="I341" s="140">
        <v>5.2060000000000002E-2</v>
      </c>
      <c r="J341" s="140">
        <v>-26.527799999999999</v>
      </c>
      <c r="K341" s="140">
        <v>559.47293000000002</v>
      </c>
      <c r="L341" s="140">
        <v>541.03927999999996</v>
      </c>
      <c r="M341" s="143"/>
      <c r="N341" s="143"/>
      <c r="O341" s="623" t="e">
        <f t="shared" si="17"/>
        <v>#DIV/0!</v>
      </c>
      <c r="P341" s="140"/>
    </row>
    <row r="342" spans="1:16" s="382" customFormat="1" ht="17.100000000000001" customHeight="1">
      <c r="A342" s="138" t="s">
        <v>2215</v>
      </c>
      <c r="B342" s="137" t="s">
        <v>3970</v>
      </c>
      <c r="C342" s="138" t="s">
        <v>3971</v>
      </c>
      <c r="D342" s="138" t="s">
        <v>969</v>
      </c>
      <c r="E342" s="138" t="s">
        <v>1571</v>
      </c>
      <c r="F342" s="420">
        <v>43100</v>
      </c>
      <c r="G342" s="141">
        <v>815.86662000000001</v>
      </c>
      <c r="H342" s="141">
        <v>3</v>
      </c>
      <c r="I342" s="141">
        <v>8.1091200000000008</v>
      </c>
      <c r="J342" s="141">
        <v>25.678880000000003</v>
      </c>
      <c r="K342" s="141">
        <v>90.789090000000002</v>
      </c>
      <c r="L342" s="141">
        <v>125.65064</v>
      </c>
      <c r="M342" s="142"/>
      <c r="N342" s="142"/>
      <c r="O342" s="623" t="e">
        <f t="shared" si="17"/>
        <v>#DIV/0!</v>
      </c>
      <c r="P342" s="140"/>
    </row>
    <row r="343" spans="1:16" s="382" customFormat="1" ht="17.100000000000001" customHeight="1">
      <c r="A343" s="136" t="s">
        <v>2217</v>
      </c>
      <c r="B343" s="135" t="s">
        <v>3972</v>
      </c>
      <c r="C343" s="136" t="s">
        <v>3973</v>
      </c>
      <c r="D343" s="136" t="s">
        <v>1027</v>
      </c>
      <c r="E343" s="136" t="s">
        <v>1571</v>
      </c>
      <c r="F343" s="419">
        <v>43100</v>
      </c>
      <c r="G343" s="140">
        <v>809.50952000000007</v>
      </c>
      <c r="H343" s="140">
        <v>12</v>
      </c>
      <c r="I343" s="143" t="s">
        <v>189</v>
      </c>
      <c r="J343" s="140">
        <v>-49.578269999999996</v>
      </c>
      <c r="K343" s="140">
        <v>481.95150000000001</v>
      </c>
      <c r="L343" s="140">
        <v>460.62641000000002</v>
      </c>
      <c r="M343" s="143"/>
      <c r="N343" s="140">
        <v>21</v>
      </c>
      <c r="O343" s="623">
        <f t="shared" si="17"/>
        <v>0</v>
      </c>
      <c r="P343" s="140">
        <f>O343*K343</f>
        <v>0</v>
      </c>
    </row>
    <row r="344" spans="1:16" s="382" customFormat="1" ht="29.45" customHeight="1">
      <c r="A344" s="138" t="s">
        <v>2219</v>
      </c>
      <c r="B344" s="137" t="s">
        <v>3974</v>
      </c>
      <c r="C344" s="138" t="s">
        <v>3975</v>
      </c>
      <c r="D344" s="138" t="s">
        <v>971</v>
      </c>
      <c r="E344" s="138" t="s">
        <v>1571</v>
      </c>
      <c r="F344" s="420">
        <v>43100</v>
      </c>
      <c r="G344" s="141">
        <v>798.36400000000003</v>
      </c>
      <c r="H344" s="141">
        <v>12</v>
      </c>
      <c r="I344" s="141">
        <v>-195.011</v>
      </c>
      <c r="J344" s="141">
        <v>-1410.883</v>
      </c>
      <c r="K344" s="141">
        <v>600.6</v>
      </c>
      <c r="L344" s="141">
        <v>-997.12900000000002</v>
      </c>
      <c r="M344" s="142"/>
      <c r="N344" s="142"/>
      <c r="O344" s="623" t="e">
        <f t="shared" si="17"/>
        <v>#DIV/0!</v>
      </c>
      <c r="P344" s="140"/>
    </row>
    <row r="345" spans="1:16" s="382" customFormat="1" ht="29.45" customHeight="1">
      <c r="A345" s="136" t="s">
        <v>2221</v>
      </c>
      <c r="B345" s="135" t="s">
        <v>3976</v>
      </c>
      <c r="C345" s="136" t="s">
        <v>3977</v>
      </c>
      <c r="D345" s="136" t="s">
        <v>975</v>
      </c>
      <c r="E345" s="136" t="s">
        <v>1571</v>
      </c>
      <c r="F345" s="419">
        <v>42735</v>
      </c>
      <c r="G345" s="140">
        <v>797.87764000000004</v>
      </c>
      <c r="H345" s="143" t="s">
        <v>189</v>
      </c>
      <c r="I345" s="140">
        <v>25.658819999999999</v>
      </c>
      <c r="J345" s="140">
        <v>105.36825</v>
      </c>
      <c r="K345" s="143" t="s">
        <v>189</v>
      </c>
      <c r="L345" s="140">
        <v>133.85411999999999</v>
      </c>
      <c r="M345" s="143"/>
      <c r="N345" s="143"/>
      <c r="O345" s="623" t="e">
        <f t="shared" si="17"/>
        <v>#DIV/0!</v>
      </c>
      <c r="P345" s="140"/>
    </row>
    <row r="346" spans="1:16" s="382" customFormat="1" ht="29.45" customHeight="1">
      <c r="A346" s="138" t="s">
        <v>2223</v>
      </c>
      <c r="B346" s="137" t="s">
        <v>3978</v>
      </c>
      <c r="C346" s="138" t="s">
        <v>3979</v>
      </c>
      <c r="D346" s="138" t="s">
        <v>1368</v>
      </c>
      <c r="E346" s="138" t="s">
        <v>1571</v>
      </c>
      <c r="F346" s="420">
        <v>43100</v>
      </c>
      <c r="G346" s="141">
        <v>768.31988000000001</v>
      </c>
      <c r="H346" s="141">
        <v>12</v>
      </c>
      <c r="I346" s="141">
        <v>4.9750100000000002</v>
      </c>
      <c r="J346" s="141">
        <v>28.056790000000003</v>
      </c>
      <c r="K346" s="141">
        <v>257.54628000000002</v>
      </c>
      <c r="L346" s="141">
        <v>291.27697000000006</v>
      </c>
      <c r="M346" s="142"/>
      <c r="N346" s="142"/>
      <c r="O346" s="623" t="e">
        <f t="shared" si="17"/>
        <v>#DIV/0!</v>
      </c>
      <c r="P346" s="140"/>
    </row>
    <row r="347" spans="1:16" s="382" customFormat="1" ht="17.100000000000001" customHeight="1">
      <c r="A347" s="136" t="s">
        <v>2225</v>
      </c>
      <c r="B347" s="135" t="s">
        <v>3980</v>
      </c>
      <c r="C347" s="136" t="s">
        <v>3981</v>
      </c>
      <c r="D347" s="136" t="s">
        <v>668</v>
      </c>
      <c r="E347" s="136" t="s">
        <v>1571</v>
      </c>
      <c r="F347" s="419">
        <v>43100</v>
      </c>
      <c r="G347" s="140">
        <v>738.61832000000004</v>
      </c>
      <c r="H347" s="140">
        <v>6</v>
      </c>
      <c r="I347" s="143" t="s">
        <v>189</v>
      </c>
      <c r="J347" s="140">
        <v>10.359920000000001</v>
      </c>
      <c r="K347" s="140">
        <v>235.30950000000001</v>
      </c>
      <c r="L347" s="140">
        <v>261.31542000000002</v>
      </c>
      <c r="M347" s="143"/>
      <c r="N347" s="143"/>
      <c r="O347" s="623" t="e">
        <f t="shared" ref="O347:O410" si="18">M347/(M347+N347)</f>
        <v>#DIV/0!</v>
      </c>
      <c r="P347" s="140"/>
    </row>
    <row r="348" spans="1:16" s="382" customFormat="1" ht="29.45" customHeight="1">
      <c r="A348" s="138" t="s">
        <v>2227</v>
      </c>
      <c r="B348" s="137" t="s">
        <v>3982</v>
      </c>
      <c r="C348" s="138" t="s">
        <v>3983</v>
      </c>
      <c r="D348" s="138" t="s">
        <v>1266</v>
      </c>
      <c r="E348" s="138" t="s">
        <v>1571</v>
      </c>
      <c r="F348" s="420">
        <v>43100</v>
      </c>
      <c r="G348" s="141">
        <v>726.21928999999989</v>
      </c>
      <c r="H348" s="141">
        <v>2</v>
      </c>
      <c r="I348" s="141">
        <v>1.0523199999999999</v>
      </c>
      <c r="J348" s="141">
        <v>1.6021599999999998</v>
      </c>
      <c r="K348" s="141">
        <v>78.087249999999997</v>
      </c>
      <c r="L348" s="141">
        <v>93.113690000000005</v>
      </c>
      <c r="M348" s="142"/>
      <c r="N348" s="142"/>
      <c r="O348" s="623" t="e">
        <f t="shared" si="18"/>
        <v>#DIV/0!</v>
      </c>
      <c r="P348" s="140"/>
    </row>
    <row r="349" spans="1:16" s="382" customFormat="1" ht="29.45" customHeight="1">
      <c r="A349" s="136" t="s">
        <v>2229</v>
      </c>
      <c r="B349" s="135" t="s">
        <v>3984</v>
      </c>
      <c r="C349" s="136" t="s">
        <v>3985</v>
      </c>
      <c r="D349" s="136" t="s">
        <v>753</v>
      </c>
      <c r="E349" s="136" t="s">
        <v>1571</v>
      </c>
      <c r="F349" s="419">
        <v>43100</v>
      </c>
      <c r="G349" s="140">
        <v>708.90800000000002</v>
      </c>
      <c r="H349" s="140">
        <v>11</v>
      </c>
      <c r="I349" s="143" t="s">
        <v>189</v>
      </c>
      <c r="J349" s="140">
        <v>-184.94327000000001</v>
      </c>
      <c r="K349" s="140">
        <v>363.15982000000002</v>
      </c>
      <c r="L349" s="140">
        <v>309.62927000000002</v>
      </c>
      <c r="M349" s="143"/>
      <c r="N349" s="143"/>
      <c r="O349" s="623" t="e">
        <f t="shared" si="18"/>
        <v>#DIV/0!</v>
      </c>
      <c r="P349" s="140"/>
    </row>
    <row r="350" spans="1:16" s="382" customFormat="1" ht="29.45" customHeight="1">
      <c r="A350" s="138" t="s">
        <v>2231</v>
      </c>
      <c r="B350" s="137" t="s">
        <v>3986</v>
      </c>
      <c r="C350" s="138" t="s">
        <v>3987</v>
      </c>
      <c r="D350" s="138" t="s">
        <v>811</v>
      </c>
      <c r="E350" s="138" t="s">
        <v>1571</v>
      </c>
      <c r="F350" s="420">
        <v>43100</v>
      </c>
      <c r="G350" s="141">
        <v>699.48232000000007</v>
      </c>
      <c r="H350" s="141">
        <v>8</v>
      </c>
      <c r="I350" s="141">
        <v>31.281309999999998</v>
      </c>
      <c r="J350" s="141">
        <v>94.004080000000002</v>
      </c>
      <c r="K350" s="141">
        <v>400.59691000000004</v>
      </c>
      <c r="L350" s="141">
        <v>552.83964900000001</v>
      </c>
      <c r="M350" s="142"/>
      <c r="N350" s="142"/>
      <c r="O350" s="623" t="e">
        <f t="shared" si="18"/>
        <v>#DIV/0!</v>
      </c>
      <c r="P350" s="140"/>
    </row>
    <row r="351" spans="1:16" s="382" customFormat="1" ht="29.45" customHeight="1">
      <c r="A351" s="136" t="s">
        <v>2233</v>
      </c>
      <c r="B351" s="135" t="s">
        <v>3988</v>
      </c>
      <c r="C351" s="136" t="s">
        <v>3989</v>
      </c>
      <c r="D351" s="136" t="s">
        <v>1203</v>
      </c>
      <c r="E351" s="136" t="s">
        <v>1571</v>
      </c>
      <c r="F351" s="419">
        <v>43100</v>
      </c>
      <c r="G351" s="140">
        <v>661.84900000000005</v>
      </c>
      <c r="H351" s="140">
        <v>4</v>
      </c>
      <c r="I351" s="143" t="s">
        <v>189</v>
      </c>
      <c r="J351" s="140">
        <v>-616.51204000000007</v>
      </c>
      <c r="K351" s="140">
        <v>212.249</v>
      </c>
      <c r="L351" s="140">
        <v>224.45895899999996</v>
      </c>
      <c r="M351" s="140">
        <v>8</v>
      </c>
      <c r="N351" s="140">
        <v>6</v>
      </c>
      <c r="O351" s="623">
        <f t="shared" si="18"/>
        <v>0.5714285714285714</v>
      </c>
      <c r="P351" s="140">
        <f>O351*K351</f>
        <v>121.28514285714284</v>
      </c>
    </row>
    <row r="352" spans="1:16" s="382" customFormat="1" ht="17.100000000000001" customHeight="1">
      <c r="A352" s="138" t="s">
        <v>2235</v>
      </c>
      <c r="B352" s="137" t="s">
        <v>3990</v>
      </c>
      <c r="C352" s="138" t="s">
        <v>3991</v>
      </c>
      <c r="D352" s="138" t="s">
        <v>811</v>
      </c>
      <c r="E352" s="138" t="s">
        <v>1571</v>
      </c>
      <c r="F352" s="420">
        <v>43100</v>
      </c>
      <c r="G352" s="141">
        <v>651.65242000000001</v>
      </c>
      <c r="H352" s="141">
        <v>15</v>
      </c>
      <c r="I352" s="142" t="s">
        <v>189</v>
      </c>
      <c r="J352" s="141">
        <v>-38.499000000000002</v>
      </c>
      <c r="K352" s="141">
        <v>554.9479</v>
      </c>
      <c r="L352" s="141">
        <v>538.37191000000007</v>
      </c>
      <c r="M352" s="142"/>
      <c r="N352" s="142"/>
      <c r="O352" s="623" t="e">
        <f t="shared" si="18"/>
        <v>#DIV/0!</v>
      </c>
      <c r="P352" s="140"/>
    </row>
    <row r="353" spans="1:16" s="382" customFormat="1" ht="29.45" customHeight="1">
      <c r="A353" s="136" t="s">
        <v>2237</v>
      </c>
      <c r="B353" s="135" t="s">
        <v>3992</v>
      </c>
      <c r="C353" s="136" t="s">
        <v>3993</v>
      </c>
      <c r="D353" s="136" t="s">
        <v>1203</v>
      </c>
      <c r="E353" s="136" t="s">
        <v>1571</v>
      </c>
      <c r="F353" s="419">
        <v>43100</v>
      </c>
      <c r="G353" s="140">
        <v>635.46520999999996</v>
      </c>
      <c r="H353" s="140">
        <v>4</v>
      </c>
      <c r="I353" s="143" t="s">
        <v>189</v>
      </c>
      <c r="J353" s="140">
        <v>-14.081349999999999</v>
      </c>
      <c r="K353" s="140">
        <v>95.051370000000006</v>
      </c>
      <c r="L353" s="140">
        <v>84.11354</v>
      </c>
      <c r="M353" s="143"/>
      <c r="N353" s="143"/>
      <c r="O353" s="623" t="e">
        <f t="shared" si="18"/>
        <v>#DIV/0!</v>
      </c>
      <c r="P353" s="140"/>
    </row>
    <row r="354" spans="1:16" s="382" customFormat="1" ht="29.45" customHeight="1">
      <c r="A354" s="138" t="s">
        <v>2239</v>
      </c>
      <c r="B354" s="137" t="s">
        <v>3994</v>
      </c>
      <c r="C354" s="138" t="s">
        <v>3995</v>
      </c>
      <c r="D354" s="138" t="s">
        <v>1168</v>
      </c>
      <c r="E354" s="138" t="s">
        <v>1571</v>
      </c>
      <c r="F354" s="420">
        <v>43100</v>
      </c>
      <c r="G354" s="141">
        <v>612.77944000000002</v>
      </c>
      <c r="H354" s="141">
        <v>3</v>
      </c>
      <c r="I354" s="141">
        <v>-94.80525999999999</v>
      </c>
      <c r="J354" s="141">
        <v>-32.715480000000007</v>
      </c>
      <c r="K354" s="141">
        <v>132.84965</v>
      </c>
      <c r="L354" s="141">
        <v>25.740690000000001</v>
      </c>
      <c r="M354" s="142"/>
      <c r="N354" s="142"/>
      <c r="O354" s="623" t="e">
        <f t="shared" si="18"/>
        <v>#DIV/0!</v>
      </c>
      <c r="P354" s="140"/>
    </row>
    <row r="355" spans="1:16" s="382" customFormat="1" ht="17.100000000000001" customHeight="1">
      <c r="A355" s="136" t="s">
        <v>2241</v>
      </c>
      <c r="B355" s="135" t="s">
        <v>3996</v>
      </c>
      <c r="C355" s="136" t="s">
        <v>3997</v>
      </c>
      <c r="D355" s="136" t="s">
        <v>975</v>
      </c>
      <c r="E355" s="136" t="s">
        <v>1571</v>
      </c>
      <c r="F355" s="419">
        <v>43100</v>
      </c>
      <c r="G355" s="140">
        <v>604.20481000000007</v>
      </c>
      <c r="H355" s="140">
        <v>20</v>
      </c>
      <c r="I355" s="143" t="s">
        <v>189</v>
      </c>
      <c r="J355" s="140">
        <v>29.681480000000004</v>
      </c>
      <c r="K355" s="140">
        <v>356.72902000000005</v>
      </c>
      <c r="L355" s="140">
        <v>407.59725000000003</v>
      </c>
      <c r="M355" s="143"/>
      <c r="N355" s="143"/>
      <c r="O355" s="623" t="e">
        <f t="shared" si="18"/>
        <v>#DIV/0!</v>
      </c>
      <c r="P355" s="140"/>
    </row>
    <row r="356" spans="1:16" s="382" customFormat="1" ht="17.100000000000001" customHeight="1">
      <c r="A356" s="138" t="s">
        <v>2243</v>
      </c>
      <c r="B356" s="137" t="s">
        <v>2962</v>
      </c>
      <c r="C356" s="138" t="s">
        <v>821</v>
      </c>
      <c r="D356" s="138" t="s">
        <v>705</v>
      </c>
      <c r="E356" s="138" t="s">
        <v>1571</v>
      </c>
      <c r="F356" s="420">
        <v>42735</v>
      </c>
      <c r="G356" s="141">
        <v>599.61704000000009</v>
      </c>
      <c r="H356" s="141">
        <v>4</v>
      </c>
      <c r="I356" s="141">
        <v>2.3318600000000003</v>
      </c>
      <c r="J356" s="141">
        <v>18.369740000000004</v>
      </c>
      <c r="K356" s="141">
        <v>174.94537</v>
      </c>
      <c r="L356" s="141">
        <v>218.00967000000003</v>
      </c>
      <c r="M356" s="142"/>
      <c r="N356" s="142"/>
      <c r="O356" s="623" t="e">
        <f t="shared" si="18"/>
        <v>#DIV/0!</v>
      </c>
      <c r="P356" s="140"/>
    </row>
    <row r="357" spans="1:16" s="382" customFormat="1" ht="29.45" customHeight="1">
      <c r="A357" s="136" t="s">
        <v>2245</v>
      </c>
      <c r="B357" s="135" t="s">
        <v>3998</v>
      </c>
      <c r="C357" s="136" t="s">
        <v>3999</v>
      </c>
      <c r="D357" s="136" t="s">
        <v>1279</v>
      </c>
      <c r="E357" s="136" t="s">
        <v>1571</v>
      </c>
      <c r="F357" s="419">
        <v>42369</v>
      </c>
      <c r="G357" s="140">
        <v>595.55782000000011</v>
      </c>
      <c r="H357" s="140">
        <v>7</v>
      </c>
      <c r="I357" s="140">
        <v>-20.96808</v>
      </c>
      <c r="J357" s="140">
        <v>37.463410000000003</v>
      </c>
      <c r="K357" s="140">
        <v>387.00506000000001</v>
      </c>
      <c r="L357" s="140">
        <v>448.68672000000004</v>
      </c>
      <c r="M357" s="143"/>
      <c r="N357" s="143"/>
      <c r="O357" s="623" t="e">
        <f t="shared" si="18"/>
        <v>#DIV/0!</v>
      </c>
      <c r="P357" s="140"/>
    </row>
    <row r="358" spans="1:16" s="382" customFormat="1" ht="29.45" customHeight="1">
      <c r="A358" s="138" t="s">
        <v>2247</v>
      </c>
      <c r="B358" s="137" t="s">
        <v>4000</v>
      </c>
      <c r="C358" s="138" t="s">
        <v>4001</v>
      </c>
      <c r="D358" s="138" t="s">
        <v>811</v>
      </c>
      <c r="E358" s="138" t="s">
        <v>1571</v>
      </c>
      <c r="F358" s="420">
        <v>43100</v>
      </c>
      <c r="G358" s="141">
        <v>584.28030000000001</v>
      </c>
      <c r="H358" s="141">
        <v>5</v>
      </c>
      <c r="I358" s="141">
        <v>-23.996809999999996</v>
      </c>
      <c r="J358" s="141">
        <v>-97.9572</v>
      </c>
      <c r="K358" s="141">
        <v>552.76894000000004</v>
      </c>
      <c r="L358" s="141">
        <v>447.99145900000002</v>
      </c>
      <c r="M358" s="142"/>
      <c r="N358" s="142"/>
      <c r="O358" s="623" t="e">
        <f t="shared" si="18"/>
        <v>#DIV/0!</v>
      </c>
      <c r="P358" s="140"/>
    </row>
    <row r="359" spans="1:16" s="382" customFormat="1" ht="43.15" customHeight="1">
      <c r="A359" s="136" t="s">
        <v>2249</v>
      </c>
      <c r="B359" s="135" t="s">
        <v>4002</v>
      </c>
      <c r="C359" s="136" t="s">
        <v>4003</v>
      </c>
      <c r="D359" s="136" t="s">
        <v>969</v>
      </c>
      <c r="E359" s="136" t="s">
        <v>1571</v>
      </c>
      <c r="F359" s="419">
        <v>43100</v>
      </c>
      <c r="G359" s="140">
        <v>580.95628999999997</v>
      </c>
      <c r="H359" s="140">
        <v>4</v>
      </c>
      <c r="I359" s="140">
        <v>33.947689999999994</v>
      </c>
      <c r="J359" s="140">
        <v>144.73811000000001</v>
      </c>
      <c r="K359" s="140">
        <v>210.71937999999997</v>
      </c>
      <c r="L359" s="140">
        <v>390.93964899999997</v>
      </c>
      <c r="M359" s="143"/>
      <c r="N359" s="143"/>
      <c r="O359" s="623" t="e">
        <f t="shared" si="18"/>
        <v>#DIV/0!</v>
      </c>
      <c r="P359" s="140"/>
    </row>
    <row r="360" spans="1:16" s="382" customFormat="1" ht="43.15" customHeight="1">
      <c r="A360" s="138" t="s">
        <v>2251</v>
      </c>
      <c r="B360" s="137" t="s">
        <v>4004</v>
      </c>
      <c r="C360" s="138" t="s">
        <v>4005</v>
      </c>
      <c r="D360" s="138" t="s">
        <v>1168</v>
      </c>
      <c r="E360" s="138" t="s">
        <v>1571</v>
      </c>
      <c r="F360" s="420">
        <v>43100</v>
      </c>
      <c r="G360" s="141">
        <v>568.55294000000004</v>
      </c>
      <c r="H360" s="141">
        <v>4</v>
      </c>
      <c r="I360" s="142" t="s">
        <v>189</v>
      </c>
      <c r="J360" s="141">
        <v>6.6975899999999999</v>
      </c>
      <c r="K360" s="141">
        <v>219.23221000000004</v>
      </c>
      <c r="L360" s="141">
        <v>226.412509</v>
      </c>
      <c r="M360" s="141">
        <v>1</v>
      </c>
      <c r="N360" s="141">
        <v>7</v>
      </c>
      <c r="O360" s="623">
        <f t="shared" si="18"/>
        <v>0.125</v>
      </c>
      <c r="P360" s="140">
        <f>O360*K360</f>
        <v>27.404026250000005</v>
      </c>
    </row>
    <row r="361" spans="1:16" s="382" customFormat="1" ht="17.100000000000001" customHeight="1">
      <c r="A361" s="136" t="s">
        <v>2253</v>
      </c>
      <c r="B361" s="135" t="s">
        <v>4006</v>
      </c>
      <c r="C361" s="136" t="s">
        <v>4007</v>
      </c>
      <c r="D361" s="136" t="s">
        <v>778</v>
      </c>
      <c r="E361" s="136" t="s">
        <v>1571</v>
      </c>
      <c r="F361" s="419">
        <v>43100</v>
      </c>
      <c r="G361" s="140">
        <v>557.45463000000007</v>
      </c>
      <c r="H361" s="140">
        <v>8</v>
      </c>
      <c r="I361" s="140">
        <v>3.0339999999999999E-2</v>
      </c>
      <c r="J361" s="140">
        <v>0.12766</v>
      </c>
      <c r="K361" s="140">
        <v>265.08246000000003</v>
      </c>
      <c r="L361" s="140">
        <v>281.29387000000003</v>
      </c>
      <c r="M361" s="140">
        <v>7</v>
      </c>
      <c r="N361" s="140">
        <v>1</v>
      </c>
      <c r="O361" s="623">
        <f t="shared" si="18"/>
        <v>0.875</v>
      </c>
      <c r="P361" s="140">
        <f>O361*K361</f>
        <v>231.94715250000002</v>
      </c>
    </row>
    <row r="362" spans="1:16" s="382" customFormat="1" ht="29.45" customHeight="1">
      <c r="A362" s="138" t="s">
        <v>2255</v>
      </c>
      <c r="B362" s="137" t="s">
        <v>4008</v>
      </c>
      <c r="C362" s="138" t="s">
        <v>4009</v>
      </c>
      <c r="D362" s="138" t="s">
        <v>975</v>
      </c>
      <c r="E362" s="138" t="s">
        <v>1571</v>
      </c>
      <c r="F362" s="420">
        <v>43100</v>
      </c>
      <c r="G362" s="141">
        <v>543.61892</v>
      </c>
      <c r="H362" s="141">
        <v>6</v>
      </c>
      <c r="I362" s="141">
        <v>13.260820000000001</v>
      </c>
      <c r="J362" s="141">
        <v>38.161269999999995</v>
      </c>
      <c r="K362" s="141">
        <v>140.18521000000001</v>
      </c>
      <c r="L362" s="141">
        <v>244.53732899999997</v>
      </c>
      <c r="M362" s="142"/>
      <c r="N362" s="142"/>
      <c r="O362" s="623" t="e">
        <f t="shared" si="18"/>
        <v>#DIV/0!</v>
      </c>
      <c r="P362" s="140"/>
    </row>
    <row r="363" spans="1:16" s="382" customFormat="1" ht="29.45" customHeight="1">
      <c r="A363" s="136" t="s">
        <v>2257</v>
      </c>
      <c r="B363" s="135" t="s">
        <v>4010</v>
      </c>
      <c r="C363" s="136" t="s">
        <v>4011</v>
      </c>
      <c r="D363" s="136" t="s">
        <v>596</v>
      </c>
      <c r="E363" s="136" t="s">
        <v>1571</v>
      </c>
      <c r="F363" s="419">
        <v>42369</v>
      </c>
      <c r="G363" s="140">
        <v>542.12894000000006</v>
      </c>
      <c r="H363" s="140">
        <v>4</v>
      </c>
      <c r="I363" s="140">
        <v>1.0277100000000001</v>
      </c>
      <c r="J363" s="140">
        <v>18.081780000000002</v>
      </c>
      <c r="K363" s="140">
        <v>85.979739999999993</v>
      </c>
      <c r="L363" s="140">
        <v>166.71366</v>
      </c>
      <c r="M363" s="143"/>
      <c r="N363" s="143"/>
      <c r="O363" s="623" t="e">
        <f t="shared" si="18"/>
        <v>#DIV/0!</v>
      </c>
      <c r="P363" s="140"/>
    </row>
    <row r="364" spans="1:16" s="382" customFormat="1" ht="17.100000000000001" customHeight="1">
      <c r="A364" s="138" t="s">
        <v>2259</v>
      </c>
      <c r="B364" s="137" t="s">
        <v>4012</v>
      </c>
      <c r="C364" s="138" t="s">
        <v>4013</v>
      </c>
      <c r="D364" s="138" t="s">
        <v>1203</v>
      </c>
      <c r="E364" s="138" t="s">
        <v>1571</v>
      </c>
      <c r="F364" s="420">
        <v>42735</v>
      </c>
      <c r="G364" s="141">
        <v>534.86270899999988</v>
      </c>
      <c r="H364" s="141">
        <v>8</v>
      </c>
      <c r="I364" s="142" t="s">
        <v>189</v>
      </c>
      <c r="J364" s="141">
        <v>43.244819999999997</v>
      </c>
      <c r="K364" s="141">
        <v>257.96395000000001</v>
      </c>
      <c r="L364" s="141">
        <v>304.77118000000002</v>
      </c>
      <c r="M364" s="142"/>
      <c r="N364" s="142"/>
      <c r="O364" s="623" t="e">
        <f t="shared" si="18"/>
        <v>#DIV/0!</v>
      </c>
      <c r="P364" s="140"/>
    </row>
    <row r="365" spans="1:16" s="382" customFormat="1" ht="17.100000000000001" customHeight="1">
      <c r="A365" s="136" t="s">
        <v>2261</v>
      </c>
      <c r="B365" s="135" t="s">
        <v>4014</v>
      </c>
      <c r="C365" s="136" t="s">
        <v>4015</v>
      </c>
      <c r="D365" s="136" t="s">
        <v>4016</v>
      </c>
      <c r="E365" s="136" t="s">
        <v>1571</v>
      </c>
      <c r="F365" s="419">
        <v>42735</v>
      </c>
      <c r="G365" s="140">
        <v>530.83181000000002</v>
      </c>
      <c r="H365" s="140">
        <v>7</v>
      </c>
      <c r="I365" s="140">
        <v>4.2819799999999999</v>
      </c>
      <c r="J365" s="140">
        <v>16.259430000000002</v>
      </c>
      <c r="K365" s="140">
        <v>236.50248999999999</v>
      </c>
      <c r="L365" s="140">
        <v>257.19387999999998</v>
      </c>
      <c r="M365" s="143"/>
      <c r="N365" s="143"/>
      <c r="O365" s="623" t="e">
        <f t="shared" si="18"/>
        <v>#DIV/0!</v>
      </c>
      <c r="P365" s="140"/>
    </row>
    <row r="366" spans="1:16" s="382" customFormat="1" ht="29.45" customHeight="1">
      <c r="A366" s="138" t="s">
        <v>2263</v>
      </c>
      <c r="B366" s="137" t="s">
        <v>3006</v>
      </c>
      <c r="C366" s="138" t="s">
        <v>1321</v>
      </c>
      <c r="D366" s="138" t="s">
        <v>1320</v>
      </c>
      <c r="E366" s="138" t="s">
        <v>1571</v>
      </c>
      <c r="F366" s="420">
        <v>43100</v>
      </c>
      <c r="G366" s="141">
        <v>526.54335000000015</v>
      </c>
      <c r="H366" s="141">
        <v>6</v>
      </c>
      <c r="I366" s="141">
        <v>15.433820000000001</v>
      </c>
      <c r="J366" s="141">
        <v>64.605819999999994</v>
      </c>
      <c r="K366" s="141">
        <v>159.73117999999999</v>
      </c>
      <c r="L366" s="141">
        <v>268.85608000000002</v>
      </c>
      <c r="M366" s="142"/>
      <c r="N366" s="142"/>
      <c r="O366" s="623" t="e">
        <f t="shared" si="18"/>
        <v>#DIV/0!</v>
      </c>
      <c r="P366" s="140"/>
    </row>
    <row r="367" spans="1:16" s="382" customFormat="1" ht="29.45" customHeight="1">
      <c r="A367" s="136" t="s">
        <v>2265</v>
      </c>
      <c r="B367" s="135" t="s">
        <v>4017</v>
      </c>
      <c r="C367" s="136" t="s">
        <v>4018</v>
      </c>
      <c r="D367" s="136" t="s">
        <v>1190</v>
      </c>
      <c r="E367" s="136" t="s">
        <v>1571</v>
      </c>
      <c r="F367" s="419">
        <v>43100</v>
      </c>
      <c r="G367" s="140">
        <v>517.68851000000006</v>
      </c>
      <c r="H367" s="140">
        <v>3</v>
      </c>
      <c r="I367" s="140">
        <v>-4.5234299999999994</v>
      </c>
      <c r="J367" s="140">
        <v>6.4847200000000003</v>
      </c>
      <c r="K367" s="140">
        <v>154.55547000000001</v>
      </c>
      <c r="L367" s="140">
        <v>167.33010000000002</v>
      </c>
      <c r="M367" s="143"/>
      <c r="N367" s="143"/>
      <c r="O367" s="623" t="e">
        <f t="shared" si="18"/>
        <v>#DIV/0!</v>
      </c>
      <c r="P367" s="140"/>
    </row>
    <row r="368" spans="1:16" s="382" customFormat="1" ht="29.45" customHeight="1">
      <c r="A368" s="138" t="s">
        <v>2267</v>
      </c>
      <c r="B368" s="137" t="s">
        <v>3028</v>
      </c>
      <c r="C368" s="138" t="s">
        <v>1327</v>
      </c>
      <c r="D368" s="138" t="s">
        <v>1320</v>
      </c>
      <c r="E368" s="138" t="s">
        <v>1571</v>
      </c>
      <c r="F368" s="420">
        <v>43100</v>
      </c>
      <c r="G368" s="141">
        <v>508.33857</v>
      </c>
      <c r="H368" s="141">
        <v>7</v>
      </c>
      <c r="I368" s="142" t="s">
        <v>189</v>
      </c>
      <c r="J368" s="141">
        <v>37.03342</v>
      </c>
      <c r="K368" s="141">
        <v>141.45167000000001</v>
      </c>
      <c r="L368" s="141">
        <v>180.86285999999998</v>
      </c>
      <c r="M368" s="142"/>
      <c r="N368" s="142"/>
      <c r="O368" s="623" t="e">
        <f t="shared" si="18"/>
        <v>#DIV/0!</v>
      </c>
      <c r="P368" s="140"/>
    </row>
    <row r="369" spans="1:16" s="382" customFormat="1" ht="43.15" customHeight="1">
      <c r="A369" s="136" t="s">
        <v>2270</v>
      </c>
      <c r="B369" s="135" t="s">
        <v>4019</v>
      </c>
      <c r="C369" s="136" t="s">
        <v>4020</v>
      </c>
      <c r="D369" s="136" t="s">
        <v>969</v>
      </c>
      <c r="E369" s="136" t="s">
        <v>1571</v>
      </c>
      <c r="F369" s="419">
        <v>43100</v>
      </c>
      <c r="G369" s="140">
        <v>496.06641000000002</v>
      </c>
      <c r="H369" s="140">
        <v>1</v>
      </c>
      <c r="I369" s="140">
        <v>0.79440999999999995</v>
      </c>
      <c r="J369" s="140">
        <v>2.6023700000000005</v>
      </c>
      <c r="K369" s="140">
        <v>113.6563</v>
      </c>
      <c r="L369" s="140">
        <v>117.05633</v>
      </c>
      <c r="M369" s="140">
        <v>1</v>
      </c>
      <c r="N369" s="140">
        <v>3</v>
      </c>
      <c r="O369" s="623">
        <f t="shared" si="18"/>
        <v>0.25</v>
      </c>
      <c r="P369" s="140">
        <f>O369*K369</f>
        <v>28.414075</v>
      </c>
    </row>
    <row r="370" spans="1:16" s="382" customFormat="1" ht="17.100000000000001" customHeight="1">
      <c r="A370" s="138" t="s">
        <v>2272</v>
      </c>
      <c r="B370" s="137" t="s">
        <v>4021</v>
      </c>
      <c r="C370" s="138" t="s">
        <v>4022</v>
      </c>
      <c r="D370" s="138" t="s">
        <v>673</v>
      </c>
      <c r="E370" s="138" t="s">
        <v>1571</v>
      </c>
      <c r="F370" s="420">
        <v>43100</v>
      </c>
      <c r="G370" s="141">
        <v>491.82767000000001</v>
      </c>
      <c r="H370" s="141">
        <v>4</v>
      </c>
      <c r="I370" s="141">
        <v>3.2314900000000004</v>
      </c>
      <c r="J370" s="141">
        <v>22.04618</v>
      </c>
      <c r="K370" s="141">
        <v>131.39010000000002</v>
      </c>
      <c r="L370" s="141">
        <v>193.58638999999999</v>
      </c>
      <c r="M370" s="141">
        <v>4</v>
      </c>
      <c r="N370" s="141">
        <v>4</v>
      </c>
      <c r="O370" s="623">
        <f t="shared" si="18"/>
        <v>0.5</v>
      </c>
      <c r="P370" s="140">
        <f>O370*K370</f>
        <v>65.695050000000009</v>
      </c>
    </row>
    <row r="371" spans="1:16" s="382" customFormat="1" ht="29.45" customHeight="1">
      <c r="A371" s="136" t="s">
        <v>2274</v>
      </c>
      <c r="B371" s="135" t="s">
        <v>3048</v>
      </c>
      <c r="C371" s="136" t="s">
        <v>1332</v>
      </c>
      <c r="D371" s="136" t="s">
        <v>1320</v>
      </c>
      <c r="E371" s="136" t="s">
        <v>1571</v>
      </c>
      <c r="F371" s="419">
        <v>42004</v>
      </c>
      <c r="G371" s="140">
        <v>471.66370000000001</v>
      </c>
      <c r="H371" s="140">
        <v>8</v>
      </c>
      <c r="I371" s="140">
        <v>-18.871080000000003</v>
      </c>
      <c r="J371" s="140">
        <v>-59.758400000000002</v>
      </c>
      <c r="K371" s="140">
        <v>192.23615000000001</v>
      </c>
      <c r="L371" s="140">
        <v>142.9024</v>
      </c>
      <c r="M371" s="143"/>
      <c r="N371" s="143"/>
      <c r="O371" s="623" t="e">
        <f t="shared" si="18"/>
        <v>#DIV/0!</v>
      </c>
      <c r="P371" s="140"/>
    </row>
    <row r="372" spans="1:16" s="382" customFormat="1" ht="29.45" customHeight="1">
      <c r="A372" s="138" t="s">
        <v>2276</v>
      </c>
      <c r="B372" s="137" t="s">
        <v>4023</v>
      </c>
      <c r="C372" s="138" t="s">
        <v>4024</v>
      </c>
      <c r="D372" s="138" t="s">
        <v>596</v>
      </c>
      <c r="E372" s="138" t="s">
        <v>1571</v>
      </c>
      <c r="F372" s="420">
        <v>43100</v>
      </c>
      <c r="G372" s="141">
        <v>469.71274</v>
      </c>
      <c r="H372" s="141">
        <v>10</v>
      </c>
      <c r="I372" s="142" t="s">
        <v>189</v>
      </c>
      <c r="J372" s="141">
        <v>-45.114530000000002</v>
      </c>
      <c r="K372" s="141">
        <v>144.74161000000001</v>
      </c>
      <c r="L372" s="141">
        <v>111.23</v>
      </c>
      <c r="M372" s="141">
        <v>1</v>
      </c>
      <c r="N372" s="142"/>
      <c r="O372" s="623">
        <f t="shared" si="18"/>
        <v>1</v>
      </c>
      <c r="P372" s="140">
        <f>O372*K372</f>
        <v>144.74161000000001</v>
      </c>
    </row>
    <row r="373" spans="1:16" s="382" customFormat="1" ht="29.45" customHeight="1">
      <c r="A373" s="136" t="s">
        <v>2278</v>
      </c>
      <c r="B373" s="135" t="s">
        <v>4025</v>
      </c>
      <c r="C373" s="136" t="s">
        <v>4026</v>
      </c>
      <c r="D373" s="136" t="s">
        <v>811</v>
      </c>
      <c r="E373" s="136" t="s">
        <v>1571</v>
      </c>
      <c r="F373" s="419">
        <v>43100</v>
      </c>
      <c r="G373" s="140">
        <v>452.20702900000003</v>
      </c>
      <c r="H373" s="140">
        <v>1</v>
      </c>
      <c r="I373" s="140">
        <v>2.22065</v>
      </c>
      <c r="J373" s="140">
        <v>8.1321000000000012</v>
      </c>
      <c r="K373" s="140">
        <v>35.751570000000001</v>
      </c>
      <c r="L373" s="140">
        <v>48.129940000000005</v>
      </c>
      <c r="M373" s="143"/>
      <c r="N373" s="143"/>
      <c r="O373" s="623" t="e">
        <f t="shared" si="18"/>
        <v>#DIV/0!</v>
      </c>
      <c r="P373" s="140"/>
    </row>
    <row r="374" spans="1:16" s="382" customFormat="1" ht="29.45" customHeight="1">
      <c r="A374" s="138" t="s">
        <v>2280</v>
      </c>
      <c r="B374" s="137" t="s">
        <v>4027</v>
      </c>
      <c r="C374" s="138" t="s">
        <v>4028</v>
      </c>
      <c r="D374" s="138" t="s">
        <v>971</v>
      </c>
      <c r="E374" s="138" t="s">
        <v>1571</v>
      </c>
      <c r="F374" s="420">
        <v>43100</v>
      </c>
      <c r="G374" s="141">
        <v>442.92619999999999</v>
      </c>
      <c r="H374" s="141">
        <v>1</v>
      </c>
      <c r="I374" s="141">
        <v>82.968180000000004</v>
      </c>
      <c r="J374" s="141">
        <v>95.901049999999998</v>
      </c>
      <c r="K374" s="141">
        <v>38.165520000000001</v>
      </c>
      <c r="L374" s="141">
        <v>444.59748000000008</v>
      </c>
      <c r="M374" s="142"/>
      <c r="N374" s="142"/>
      <c r="O374" s="623" t="e">
        <f t="shared" si="18"/>
        <v>#DIV/0!</v>
      </c>
      <c r="P374" s="140"/>
    </row>
    <row r="375" spans="1:16" s="382" customFormat="1" ht="43.15" customHeight="1">
      <c r="A375" s="136" t="s">
        <v>2282</v>
      </c>
      <c r="B375" s="135" t="s">
        <v>3107</v>
      </c>
      <c r="C375" s="136" t="s">
        <v>1248</v>
      </c>
      <c r="D375" s="136" t="s">
        <v>1249</v>
      </c>
      <c r="E375" s="136" t="s">
        <v>1571</v>
      </c>
      <c r="F375" s="419">
        <v>43100</v>
      </c>
      <c r="G375" s="140">
        <v>400.72595000000001</v>
      </c>
      <c r="H375" s="140">
        <v>2</v>
      </c>
      <c r="I375" s="143" t="s">
        <v>189</v>
      </c>
      <c r="J375" s="140">
        <v>3.0723100000000003</v>
      </c>
      <c r="K375" s="140">
        <v>49.67606</v>
      </c>
      <c r="L375" s="140">
        <v>62.948369</v>
      </c>
      <c r="M375" s="143"/>
      <c r="N375" s="143"/>
      <c r="O375" s="623" t="e">
        <f t="shared" si="18"/>
        <v>#DIV/0!</v>
      </c>
      <c r="P375" s="140"/>
    </row>
    <row r="376" spans="1:16" s="382" customFormat="1" ht="29.45" customHeight="1">
      <c r="A376" s="138" t="s">
        <v>2284</v>
      </c>
      <c r="B376" s="137" t="s">
        <v>4029</v>
      </c>
      <c r="C376" s="138" t="s">
        <v>4030</v>
      </c>
      <c r="D376" s="138" t="s">
        <v>596</v>
      </c>
      <c r="E376" s="138" t="s">
        <v>1571</v>
      </c>
      <c r="F376" s="420">
        <v>43100</v>
      </c>
      <c r="G376" s="141">
        <v>380.73534999999998</v>
      </c>
      <c r="H376" s="141">
        <v>4</v>
      </c>
      <c r="I376" s="141">
        <v>0.66691999999999996</v>
      </c>
      <c r="J376" s="141">
        <v>2.8066200000000001</v>
      </c>
      <c r="K376" s="141">
        <v>131.46847</v>
      </c>
      <c r="L376" s="141">
        <v>138.13919000000001</v>
      </c>
      <c r="M376" s="142"/>
      <c r="N376" s="142"/>
      <c r="O376" s="623" t="e">
        <f t="shared" si="18"/>
        <v>#DIV/0!</v>
      </c>
      <c r="P376" s="140"/>
    </row>
    <row r="377" spans="1:16" s="382" customFormat="1" ht="29.45" customHeight="1">
      <c r="A377" s="136" t="s">
        <v>2286</v>
      </c>
      <c r="B377" s="135" t="s">
        <v>4031</v>
      </c>
      <c r="C377" s="136" t="s">
        <v>4032</v>
      </c>
      <c r="D377" s="136" t="s">
        <v>975</v>
      </c>
      <c r="E377" s="136" t="s">
        <v>1571</v>
      </c>
      <c r="F377" s="419">
        <v>43100</v>
      </c>
      <c r="G377" s="140">
        <v>372.70243000000005</v>
      </c>
      <c r="H377" s="140">
        <v>1</v>
      </c>
      <c r="I377" s="140">
        <v>10.68561</v>
      </c>
      <c r="J377" s="140">
        <v>114.79010000000001</v>
      </c>
      <c r="K377" s="140">
        <v>39.128310000000006</v>
      </c>
      <c r="L377" s="140">
        <v>192.11417000000003</v>
      </c>
      <c r="M377" s="143"/>
      <c r="N377" s="140">
        <v>3</v>
      </c>
      <c r="O377" s="623">
        <f t="shared" si="18"/>
        <v>0</v>
      </c>
      <c r="P377" s="140">
        <f>O377*K377</f>
        <v>0</v>
      </c>
    </row>
    <row r="378" spans="1:16" s="382" customFormat="1" ht="29.45" customHeight="1">
      <c r="A378" s="138" t="s">
        <v>2288</v>
      </c>
      <c r="B378" s="137" t="s">
        <v>4033</v>
      </c>
      <c r="C378" s="138" t="s">
        <v>4034</v>
      </c>
      <c r="D378" s="138" t="s">
        <v>1266</v>
      </c>
      <c r="E378" s="138" t="s">
        <v>1571</v>
      </c>
      <c r="F378" s="420">
        <v>42735</v>
      </c>
      <c r="G378" s="141">
        <v>357.82763</v>
      </c>
      <c r="H378" s="141">
        <v>4</v>
      </c>
      <c r="I378" s="142" t="s">
        <v>189</v>
      </c>
      <c r="J378" s="142" t="s">
        <v>189</v>
      </c>
      <c r="K378" s="141">
        <v>241.26987</v>
      </c>
      <c r="L378" s="141">
        <v>250.66987</v>
      </c>
      <c r="M378" s="141">
        <v>7</v>
      </c>
      <c r="N378" s="141">
        <v>8</v>
      </c>
      <c r="O378" s="623">
        <f t="shared" si="18"/>
        <v>0.46666666666666667</v>
      </c>
      <c r="P378" s="140">
        <f>O378*K378</f>
        <v>112.592606</v>
      </c>
    </row>
    <row r="379" spans="1:16" s="382" customFormat="1" ht="29.45" customHeight="1">
      <c r="A379" s="136" t="s">
        <v>2290</v>
      </c>
      <c r="B379" s="135" t="s">
        <v>4035</v>
      </c>
      <c r="C379" s="136" t="s">
        <v>4036</v>
      </c>
      <c r="D379" s="136" t="s">
        <v>811</v>
      </c>
      <c r="E379" s="136" t="s">
        <v>1571</v>
      </c>
      <c r="F379" s="419">
        <v>43100</v>
      </c>
      <c r="G379" s="140">
        <v>356.05277000000001</v>
      </c>
      <c r="H379" s="140">
        <v>4</v>
      </c>
      <c r="I379" s="143" t="s">
        <v>189</v>
      </c>
      <c r="J379" s="140">
        <v>2.1232100000000003</v>
      </c>
      <c r="K379" s="140">
        <v>149.36907000000002</v>
      </c>
      <c r="L379" s="140">
        <v>156.45321900000002</v>
      </c>
      <c r="M379" s="140">
        <v>1</v>
      </c>
      <c r="N379" s="140">
        <v>4</v>
      </c>
      <c r="O379" s="623">
        <f t="shared" si="18"/>
        <v>0.2</v>
      </c>
      <c r="P379" s="140">
        <f>O379*K379</f>
        <v>29.873814000000007</v>
      </c>
    </row>
    <row r="380" spans="1:16" s="382" customFormat="1" ht="29.45" customHeight="1">
      <c r="A380" s="138" t="s">
        <v>2292</v>
      </c>
      <c r="B380" s="137" t="s">
        <v>4037</v>
      </c>
      <c r="C380" s="138" t="s">
        <v>4038</v>
      </c>
      <c r="D380" s="138" t="s">
        <v>1595</v>
      </c>
      <c r="E380" s="138" t="s">
        <v>1571</v>
      </c>
      <c r="F380" s="420">
        <v>43100</v>
      </c>
      <c r="G380" s="141">
        <v>341.25700900000004</v>
      </c>
      <c r="H380" s="141">
        <v>5</v>
      </c>
      <c r="I380" s="141">
        <v>10.576859999999998</v>
      </c>
      <c r="J380" s="141">
        <v>-54.647089999999999</v>
      </c>
      <c r="K380" s="141">
        <v>237.34267000000003</v>
      </c>
      <c r="L380" s="141">
        <v>193.27343999999999</v>
      </c>
      <c r="M380" s="142"/>
      <c r="N380" s="142"/>
      <c r="O380" s="623" t="e">
        <f t="shared" si="18"/>
        <v>#DIV/0!</v>
      </c>
      <c r="P380" s="140"/>
    </row>
    <row r="381" spans="1:16" s="382" customFormat="1" ht="43.15" customHeight="1">
      <c r="A381" s="136" t="s">
        <v>2294</v>
      </c>
      <c r="B381" s="421" t="s">
        <v>4039</v>
      </c>
      <c r="C381" s="136" t="s">
        <v>4040</v>
      </c>
      <c r="D381" s="136" t="s">
        <v>1266</v>
      </c>
      <c r="E381" s="136" t="s">
        <v>1571</v>
      </c>
      <c r="F381" s="419">
        <v>36891</v>
      </c>
      <c r="G381" s="140">
        <v>340.87995000000001</v>
      </c>
      <c r="H381" s="140">
        <v>1</v>
      </c>
      <c r="I381" s="143" t="s">
        <v>189</v>
      </c>
      <c r="J381" s="140">
        <v>3.3003900000000006</v>
      </c>
      <c r="K381" s="140">
        <v>37.153820000000003</v>
      </c>
      <c r="L381" s="140">
        <v>44.238959999999999</v>
      </c>
      <c r="M381" s="143"/>
      <c r="N381" s="143"/>
      <c r="O381" s="623" t="e">
        <f t="shared" si="18"/>
        <v>#DIV/0!</v>
      </c>
      <c r="P381" s="140"/>
    </row>
    <row r="382" spans="1:16" s="382" customFormat="1" ht="43.15" customHeight="1">
      <c r="A382" s="138" t="s">
        <v>2296</v>
      </c>
      <c r="B382" s="137" t="s">
        <v>4041</v>
      </c>
      <c r="C382" s="138" t="s">
        <v>4042</v>
      </c>
      <c r="D382" s="138" t="s">
        <v>1316</v>
      </c>
      <c r="E382" s="138" t="s">
        <v>1571</v>
      </c>
      <c r="F382" s="420">
        <v>43100</v>
      </c>
      <c r="G382" s="141">
        <v>292.32494000000003</v>
      </c>
      <c r="H382" s="142" t="s">
        <v>189</v>
      </c>
      <c r="I382" s="141">
        <v>6.4587500000000002</v>
      </c>
      <c r="J382" s="141">
        <v>27.180590000000002</v>
      </c>
      <c r="K382" s="141">
        <v>3.8546500000000004</v>
      </c>
      <c r="L382" s="141">
        <v>39.348658999999998</v>
      </c>
      <c r="M382" s="141">
        <v>2</v>
      </c>
      <c r="N382" s="141">
        <v>4</v>
      </c>
      <c r="O382" s="623">
        <f t="shared" si="18"/>
        <v>0.33333333333333331</v>
      </c>
      <c r="P382" s="140">
        <f>O382*K382</f>
        <v>1.2848833333333334</v>
      </c>
    </row>
    <row r="383" spans="1:16" s="382" customFormat="1" ht="43.15" customHeight="1">
      <c r="A383" s="136" t="s">
        <v>2298</v>
      </c>
      <c r="B383" s="135" t="s">
        <v>4043</v>
      </c>
      <c r="C383" s="136" t="s">
        <v>4044</v>
      </c>
      <c r="D383" s="136" t="s">
        <v>1368</v>
      </c>
      <c r="E383" s="136" t="s">
        <v>1571</v>
      </c>
      <c r="F383" s="419">
        <v>43100</v>
      </c>
      <c r="G383" s="140">
        <v>288.55104999999998</v>
      </c>
      <c r="H383" s="140">
        <v>6</v>
      </c>
      <c r="I383" s="143" t="s">
        <v>189</v>
      </c>
      <c r="J383" s="140">
        <v>-13.84661</v>
      </c>
      <c r="K383" s="140">
        <v>145.11469</v>
      </c>
      <c r="L383" s="140">
        <v>139.05485999999999</v>
      </c>
      <c r="M383" s="143"/>
      <c r="N383" s="143"/>
      <c r="O383" s="623" t="e">
        <f t="shared" si="18"/>
        <v>#DIV/0!</v>
      </c>
      <c r="P383" s="140"/>
    </row>
    <row r="384" spans="1:16" s="382" customFormat="1" ht="29.45" customHeight="1">
      <c r="A384" s="138" t="s">
        <v>2300</v>
      </c>
      <c r="B384" s="137" t="s">
        <v>4045</v>
      </c>
      <c r="C384" s="138" t="s">
        <v>4046</v>
      </c>
      <c r="D384" s="138" t="s">
        <v>1203</v>
      </c>
      <c r="E384" s="138" t="s">
        <v>1571</v>
      </c>
      <c r="F384" s="420">
        <v>43100</v>
      </c>
      <c r="G384" s="141">
        <v>275.15169000000003</v>
      </c>
      <c r="H384" s="141">
        <v>11</v>
      </c>
      <c r="I384" s="141">
        <v>-97.34836</v>
      </c>
      <c r="J384" s="141">
        <v>-250.32434999999998</v>
      </c>
      <c r="K384" s="141">
        <v>391.20798000000002</v>
      </c>
      <c r="L384" s="141">
        <v>173.11681000000002</v>
      </c>
      <c r="M384" s="141">
        <v>2</v>
      </c>
      <c r="N384" s="142"/>
      <c r="O384" s="623">
        <f t="shared" si="18"/>
        <v>1</v>
      </c>
      <c r="P384" s="140">
        <f>O384*K384</f>
        <v>391.20798000000002</v>
      </c>
    </row>
    <row r="385" spans="1:16" s="382" customFormat="1" ht="29.45" customHeight="1">
      <c r="A385" s="136" t="s">
        <v>2302</v>
      </c>
      <c r="B385" s="135" t="s">
        <v>4047</v>
      </c>
      <c r="C385" s="136" t="s">
        <v>4048</v>
      </c>
      <c r="D385" s="136" t="s">
        <v>811</v>
      </c>
      <c r="E385" s="136" t="s">
        <v>1571</v>
      </c>
      <c r="F385" s="419">
        <v>43100</v>
      </c>
      <c r="G385" s="140">
        <v>271.55352000000005</v>
      </c>
      <c r="H385" s="140">
        <v>2</v>
      </c>
      <c r="I385" s="140">
        <v>7.9723800000000002</v>
      </c>
      <c r="J385" s="140">
        <v>31.78593</v>
      </c>
      <c r="K385" s="140">
        <v>57.543789999999994</v>
      </c>
      <c r="L385" s="140">
        <v>97.517359999999996</v>
      </c>
      <c r="M385" s="143"/>
      <c r="N385" s="143"/>
      <c r="O385" s="623" t="e">
        <f t="shared" si="18"/>
        <v>#DIV/0!</v>
      </c>
      <c r="P385" s="140"/>
    </row>
    <row r="386" spans="1:16" s="382" customFormat="1" ht="29.45" customHeight="1">
      <c r="A386" s="138" t="s">
        <v>2304</v>
      </c>
      <c r="B386" s="137" t="s">
        <v>4049</v>
      </c>
      <c r="C386" s="138" t="s">
        <v>4050</v>
      </c>
      <c r="D386" s="138" t="s">
        <v>1622</v>
      </c>
      <c r="E386" s="138" t="s">
        <v>1571</v>
      </c>
      <c r="F386" s="420">
        <v>43100</v>
      </c>
      <c r="G386" s="141">
        <v>266.53753000000006</v>
      </c>
      <c r="H386" s="141">
        <v>4</v>
      </c>
      <c r="I386" s="141">
        <v>6.5472399999999995</v>
      </c>
      <c r="J386" s="141">
        <v>50.031010000000002</v>
      </c>
      <c r="K386" s="141">
        <v>112.20989999999999</v>
      </c>
      <c r="L386" s="141">
        <v>210.73313000000002</v>
      </c>
      <c r="M386" s="142"/>
      <c r="N386" s="142"/>
      <c r="O386" s="623" t="e">
        <f t="shared" si="18"/>
        <v>#DIV/0!</v>
      </c>
      <c r="P386" s="140"/>
    </row>
    <row r="387" spans="1:16" s="382" customFormat="1" ht="29.45" customHeight="1">
      <c r="A387" s="136" t="s">
        <v>2306</v>
      </c>
      <c r="B387" s="135" t="s">
        <v>4051</v>
      </c>
      <c r="C387" s="136" t="s">
        <v>4052</v>
      </c>
      <c r="D387" s="136" t="s">
        <v>811</v>
      </c>
      <c r="E387" s="136" t="s">
        <v>1571</v>
      </c>
      <c r="F387" s="419">
        <v>43100</v>
      </c>
      <c r="G387" s="140">
        <v>239.87527000000003</v>
      </c>
      <c r="H387" s="140">
        <v>3</v>
      </c>
      <c r="I387" s="143" t="s">
        <v>189</v>
      </c>
      <c r="J387" s="140">
        <v>-68.786230000000003</v>
      </c>
      <c r="K387" s="140">
        <v>185.78691999999998</v>
      </c>
      <c r="L387" s="140">
        <v>255.32882999999998</v>
      </c>
      <c r="M387" s="143"/>
      <c r="N387" s="143"/>
      <c r="O387" s="623" t="e">
        <f t="shared" si="18"/>
        <v>#DIV/0!</v>
      </c>
      <c r="P387" s="140"/>
    </row>
    <row r="388" spans="1:16" s="382" customFormat="1" ht="17.100000000000001" customHeight="1">
      <c r="A388" s="138" t="s">
        <v>2308</v>
      </c>
      <c r="B388" s="137" t="s">
        <v>4053</v>
      </c>
      <c r="C388" s="138" t="s">
        <v>4054</v>
      </c>
      <c r="D388" s="138" t="s">
        <v>811</v>
      </c>
      <c r="E388" s="138" t="s">
        <v>1571</v>
      </c>
      <c r="F388" s="420">
        <v>43100</v>
      </c>
      <c r="G388" s="141">
        <v>235.78157999999999</v>
      </c>
      <c r="H388" s="141">
        <v>3</v>
      </c>
      <c r="I388" s="141">
        <v>-0.81774999999999998</v>
      </c>
      <c r="J388" s="141">
        <v>-2.58954</v>
      </c>
      <c r="K388" s="141">
        <v>95.033509999999993</v>
      </c>
      <c r="L388" s="141">
        <v>92.114639999999994</v>
      </c>
      <c r="M388" s="142"/>
      <c r="N388" s="142"/>
      <c r="O388" s="623" t="e">
        <f t="shared" si="18"/>
        <v>#DIV/0!</v>
      </c>
      <c r="P388" s="140"/>
    </row>
    <row r="389" spans="1:16" s="382" customFormat="1" ht="29.45" customHeight="1">
      <c r="A389" s="136" t="s">
        <v>2310</v>
      </c>
      <c r="B389" s="135" t="s">
        <v>4055</v>
      </c>
      <c r="C389" s="136" t="s">
        <v>4056</v>
      </c>
      <c r="D389" s="136" t="s">
        <v>811</v>
      </c>
      <c r="E389" s="136" t="s">
        <v>1571</v>
      </c>
      <c r="F389" s="419">
        <v>43100</v>
      </c>
      <c r="G389" s="140">
        <v>234.46680000000001</v>
      </c>
      <c r="H389" s="140">
        <v>1</v>
      </c>
      <c r="I389" s="143" t="s">
        <v>189</v>
      </c>
      <c r="J389" s="140">
        <v>15.648340000000001</v>
      </c>
      <c r="K389" s="140">
        <v>67.209600000000009</v>
      </c>
      <c r="L389" s="140">
        <v>121.12632000000001</v>
      </c>
      <c r="M389" s="143"/>
      <c r="N389" s="143"/>
      <c r="O389" s="623" t="e">
        <f t="shared" si="18"/>
        <v>#DIV/0!</v>
      </c>
      <c r="P389" s="140"/>
    </row>
    <row r="390" spans="1:16" s="382" customFormat="1" ht="17.100000000000001" customHeight="1">
      <c r="A390" s="138" t="s">
        <v>2312</v>
      </c>
      <c r="B390" s="137" t="s">
        <v>4057</v>
      </c>
      <c r="C390" s="138" t="s">
        <v>4058</v>
      </c>
      <c r="D390" s="138" t="s">
        <v>1145</v>
      </c>
      <c r="E390" s="138" t="s">
        <v>1571</v>
      </c>
      <c r="F390" s="420">
        <v>38352</v>
      </c>
      <c r="G390" s="141">
        <v>233.20276000000001</v>
      </c>
      <c r="H390" s="141">
        <v>3</v>
      </c>
      <c r="I390" s="142" t="s">
        <v>189</v>
      </c>
      <c r="J390" s="141">
        <v>56.025230000000001</v>
      </c>
      <c r="K390" s="141">
        <v>101.76845999999999</v>
      </c>
      <c r="L390" s="141">
        <v>183.279449</v>
      </c>
      <c r="M390" s="142"/>
      <c r="N390" s="142"/>
      <c r="O390" s="623" t="e">
        <f t="shared" si="18"/>
        <v>#DIV/0!</v>
      </c>
      <c r="P390" s="140"/>
    </row>
    <row r="391" spans="1:16" s="382" customFormat="1" ht="43.15" customHeight="1">
      <c r="A391" s="136" t="s">
        <v>2314</v>
      </c>
      <c r="B391" s="421" t="s">
        <v>4059</v>
      </c>
      <c r="C391" s="136" t="s">
        <v>4060</v>
      </c>
      <c r="D391" s="136" t="s">
        <v>811</v>
      </c>
      <c r="E391" s="136" t="s">
        <v>1571</v>
      </c>
      <c r="F391" s="419">
        <v>37986</v>
      </c>
      <c r="G391" s="140">
        <v>220.81384999999997</v>
      </c>
      <c r="H391" s="140">
        <v>10</v>
      </c>
      <c r="I391" s="143" t="s">
        <v>189</v>
      </c>
      <c r="J391" s="140">
        <v>-18.711639999999999</v>
      </c>
      <c r="K391" s="140">
        <v>164.19454999999999</v>
      </c>
      <c r="L391" s="140">
        <v>150.01909000000001</v>
      </c>
      <c r="M391" s="143"/>
      <c r="N391" s="143"/>
      <c r="O391" s="623" t="e">
        <f t="shared" si="18"/>
        <v>#DIV/0!</v>
      </c>
      <c r="P391" s="140"/>
    </row>
    <row r="392" spans="1:16" s="382" customFormat="1" ht="29.45" customHeight="1">
      <c r="A392" s="138" t="s">
        <v>2316</v>
      </c>
      <c r="B392" s="137" t="s">
        <v>4061</v>
      </c>
      <c r="C392" s="138" t="s">
        <v>4062</v>
      </c>
      <c r="D392" s="138" t="s">
        <v>1266</v>
      </c>
      <c r="E392" s="138" t="s">
        <v>1571</v>
      </c>
      <c r="F392" s="420">
        <v>43100</v>
      </c>
      <c r="G392" s="141">
        <v>218.66229999999999</v>
      </c>
      <c r="H392" s="141">
        <v>1</v>
      </c>
      <c r="I392" s="141">
        <v>28.56401</v>
      </c>
      <c r="J392" s="141">
        <v>-6.955610000000001</v>
      </c>
      <c r="K392" s="141">
        <v>43.235860000000002</v>
      </c>
      <c r="L392" s="141">
        <v>74.730399999999989</v>
      </c>
      <c r="M392" s="142"/>
      <c r="N392" s="142"/>
      <c r="O392" s="623" t="e">
        <f t="shared" si="18"/>
        <v>#DIV/0!</v>
      </c>
      <c r="P392" s="140"/>
    </row>
    <row r="393" spans="1:16" s="382" customFormat="1" ht="29.45" customHeight="1">
      <c r="A393" s="136" t="s">
        <v>2318</v>
      </c>
      <c r="B393" s="135" t="s">
        <v>4063</v>
      </c>
      <c r="C393" s="136" t="s">
        <v>4064</v>
      </c>
      <c r="D393" s="136" t="s">
        <v>811</v>
      </c>
      <c r="E393" s="136" t="s">
        <v>1571</v>
      </c>
      <c r="F393" s="419">
        <v>43100</v>
      </c>
      <c r="G393" s="140">
        <v>205.85321000000002</v>
      </c>
      <c r="H393" s="143" t="s">
        <v>189</v>
      </c>
      <c r="I393" s="140">
        <v>36.234070000000003</v>
      </c>
      <c r="J393" s="140">
        <v>119.62003</v>
      </c>
      <c r="K393" s="143" t="s">
        <v>189</v>
      </c>
      <c r="L393" s="140">
        <v>177.48151000000001</v>
      </c>
      <c r="M393" s="143"/>
      <c r="N393" s="143"/>
      <c r="O393" s="623" t="e">
        <f t="shared" si="18"/>
        <v>#DIV/0!</v>
      </c>
      <c r="P393" s="140"/>
    </row>
    <row r="394" spans="1:16" s="382" customFormat="1" ht="29.45" customHeight="1">
      <c r="A394" s="138" t="s">
        <v>2320</v>
      </c>
      <c r="B394" s="137" t="s">
        <v>4065</v>
      </c>
      <c r="C394" s="138" t="s">
        <v>4066</v>
      </c>
      <c r="D394" s="138" t="s">
        <v>811</v>
      </c>
      <c r="E394" s="138" t="s">
        <v>1571</v>
      </c>
      <c r="F394" s="420">
        <v>43100</v>
      </c>
      <c r="G394" s="141">
        <v>163.31688899999997</v>
      </c>
      <c r="H394" s="141">
        <v>5</v>
      </c>
      <c r="I394" s="142" t="s">
        <v>189</v>
      </c>
      <c r="J394" s="141">
        <v>-26.719109999999997</v>
      </c>
      <c r="K394" s="141">
        <v>105.30040999999999</v>
      </c>
      <c r="L394" s="141">
        <v>84.605890000000002</v>
      </c>
      <c r="M394" s="142"/>
      <c r="N394" s="142"/>
      <c r="O394" s="623" t="e">
        <f t="shared" si="18"/>
        <v>#DIV/0!</v>
      </c>
      <c r="P394" s="140"/>
    </row>
    <row r="395" spans="1:16" s="382" customFormat="1" ht="43.15" customHeight="1">
      <c r="A395" s="136" t="s">
        <v>2322</v>
      </c>
      <c r="B395" s="135" t="s">
        <v>4067</v>
      </c>
      <c r="C395" s="136" t="s">
        <v>4068</v>
      </c>
      <c r="D395" s="136" t="s">
        <v>1341</v>
      </c>
      <c r="E395" s="136" t="s">
        <v>1571</v>
      </c>
      <c r="F395" s="419">
        <v>42735</v>
      </c>
      <c r="G395" s="140">
        <v>147.47591</v>
      </c>
      <c r="H395" s="140">
        <v>1</v>
      </c>
      <c r="I395" s="143" t="s">
        <v>189</v>
      </c>
      <c r="J395" s="140">
        <v>0.28175</v>
      </c>
      <c r="K395" s="140">
        <v>25.437629999999999</v>
      </c>
      <c r="L395" s="140">
        <v>26.916480000000004</v>
      </c>
      <c r="M395" s="143"/>
      <c r="N395" s="143"/>
      <c r="O395" s="623" t="e">
        <f t="shared" si="18"/>
        <v>#DIV/0!</v>
      </c>
      <c r="P395" s="140"/>
    </row>
    <row r="396" spans="1:16" s="382" customFormat="1" ht="17.100000000000001" customHeight="1">
      <c r="A396" s="138" t="s">
        <v>2324</v>
      </c>
      <c r="B396" s="137" t="s">
        <v>4069</v>
      </c>
      <c r="C396" s="138" t="s">
        <v>4070</v>
      </c>
      <c r="D396" s="138" t="s">
        <v>811</v>
      </c>
      <c r="E396" s="138" t="s">
        <v>1571</v>
      </c>
      <c r="F396" s="420">
        <v>42369</v>
      </c>
      <c r="G396" s="141">
        <v>129.46304000000001</v>
      </c>
      <c r="H396" s="141">
        <v>1</v>
      </c>
      <c r="I396" s="142" t="s">
        <v>189</v>
      </c>
      <c r="J396" s="141">
        <v>-1.0265</v>
      </c>
      <c r="K396" s="141">
        <v>17.5122</v>
      </c>
      <c r="L396" s="141">
        <v>20.768809999999998</v>
      </c>
      <c r="M396" s="142"/>
      <c r="N396" s="142"/>
      <c r="O396" s="623" t="e">
        <f t="shared" si="18"/>
        <v>#DIV/0!</v>
      </c>
      <c r="P396" s="140"/>
    </row>
    <row r="397" spans="1:16" s="382" customFormat="1" ht="29.45" customHeight="1">
      <c r="A397" s="136" t="s">
        <v>2326</v>
      </c>
      <c r="B397" s="135" t="s">
        <v>4071</v>
      </c>
      <c r="C397" s="136" t="s">
        <v>4072</v>
      </c>
      <c r="D397" s="136" t="s">
        <v>811</v>
      </c>
      <c r="E397" s="136" t="s">
        <v>1571</v>
      </c>
      <c r="F397" s="419">
        <v>43100</v>
      </c>
      <c r="G397" s="140">
        <v>119.79147</v>
      </c>
      <c r="H397" s="143" t="s">
        <v>189</v>
      </c>
      <c r="I397" s="140">
        <v>19.32405</v>
      </c>
      <c r="J397" s="140">
        <v>57.355330000000002</v>
      </c>
      <c r="K397" s="143" t="s">
        <v>189</v>
      </c>
      <c r="L397" s="140">
        <v>102.10601</v>
      </c>
      <c r="M397" s="140">
        <v>3</v>
      </c>
      <c r="N397" s="140">
        <v>13</v>
      </c>
      <c r="O397" s="623">
        <f t="shared" si="18"/>
        <v>0.1875</v>
      </c>
      <c r="P397" s="140"/>
    </row>
    <row r="398" spans="1:16" s="382" customFormat="1" ht="29.45" customHeight="1">
      <c r="A398" s="138" t="s">
        <v>2328</v>
      </c>
      <c r="B398" s="137" t="s">
        <v>4073</v>
      </c>
      <c r="C398" s="138" t="s">
        <v>4074</v>
      </c>
      <c r="D398" s="138" t="s">
        <v>1461</v>
      </c>
      <c r="E398" s="138" t="s">
        <v>1571</v>
      </c>
      <c r="F398" s="420">
        <v>43100</v>
      </c>
      <c r="G398" s="141">
        <v>108.59784900000001</v>
      </c>
      <c r="H398" s="141">
        <v>2</v>
      </c>
      <c r="I398" s="141">
        <v>0.24580000000000002</v>
      </c>
      <c r="J398" s="141">
        <v>-6.7576500000000008</v>
      </c>
      <c r="K398" s="141">
        <v>64.564610000000002</v>
      </c>
      <c r="L398" s="141">
        <v>58.709319999999998</v>
      </c>
      <c r="M398" s="142"/>
      <c r="N398" s="142"/>
      <c r="O398" s="623" t="e">
        <f t="shared" si="18"/>
        <v>#DIV/0!</v>
      </c>
      <c r="P398" s="140"/>
    </row>
    <row r="399" spans="1:16" s="382" customFormat="1" ht="29.45" customHeight="1">
      <c r="A399" s="136" t="s">
        <v>2330</v>
      </c>
      <c r="B399" s="135" t="s">
        <v>4075</v>
      </c>
      <c r="C399" s="136" t="s">
        <v>4076</v>
      </c>
      <c r="D399" s="136" t="s">
        <v>1305</v>
      </c>
      <c r="E399" s="136" t="s">
        <v>1571</v>
      </c>
      <c r="F399" s="419">
        <v>43100</v>
      </c>
      <c r="G399" s="140">
        <v>107.65248999999999</v>
      </c>
      <c r="H399" s="140">
        <v>3</v>
      </c>
      <c r="I399" s="143" t="s">
        <v>189</v>
      </c>
      <c r="J399" s="140">
        <v>6.2283900000000001</v>
      </c>
      <c r="K399" s="140">
        <v>86.703600000000009</v>
      </c>
      <c r="L399" s="140">
        <v>97.960530000000006</v>
      </c>
      <c r="M399" s="143"/>
      <c r="N399" s="143"/>
      <c r="O399" s="623" t="e">
        <f t="shared" si="18"/>
        <v>#DIV/0!</v>
      </c>
      <c r="P399" s="140"/>
    </row>
    <row r="400" spans="1:16" s="382" customFormat="1" ht="17.100000000000001" customHeight="1">
      <c r="A400" s="138" t="s">
        <v>2332</v>
      </c>
      <c r="B400" s="137" t="s">
        <v>4077</v>
      </c>
      <c r="C400" s="138" t="s">
        <v>4078</v>
      </c>
      <c r="D400" s="138" t="s">
        <v>811</v>
      </c>
      <c r="E400" s="138" t="s">
        <v>1571</v>
      </c>
      <c r="F400" s="420">
        <v>43100</v>
      </c>
      <c r="G400" s="141">
        <v>83.663640000000001</v>
      </c>
      <c r="H400" s="141">
        <v>1</v>
      </c>
      <c r="I400" s="141">
        <v>1.9717800000000001</v>
      </c>
      <c r="J400" s="141">
        <v>8.2978879999999986</v>
      </c>
      <c r="K400" s="141">
        <v>10.04616</v>
      </c>
      <c r="L400" s="141">
        <v>27.583088000000004</v>
      </c>
      <c r="M400" s="142"/>
      <c r="N400" s="141">
        <v>1</v>
      </c>
      <c r="O400" s="623">
        <f t="shared" si="18"/>
        <v>0</v>
      </c>
      <c r="P400" s="140">
        <f>O400*K400</f>
        <v>0</v>
      </c>
    </row>
    <row r="401" spans="1:16" s="382" customFormat="1" ht="29.45" customHeight="1">
      <c r="A401" s="136" t="s">
        <v>2334</v>
      </c>
      <c r="B401" s="135" t="s">
        <v>4079</v>
      </c>
      <c r="C401" s="136" t="s">
        <v>4080</v>
      </c>
      <c r="D401" s="136" t="s">
        <v>811</v>
      </c>
      <c r="E401" s="136" t="s">
        <v>1571</v>
      </c>
      <c r="F401" s="419">
        <v>43100</v>
      </c>
      <c r="G401" s="140">
        <v>75.336219999999997</v>
      </c>
      <c r="H401" s="143" t="s">
        <v>189</v>
      </c>
      <c r="I401" s="140">
        <v>-9.9960000000000007E-2</v>
      </c>
      <c r="J401" s="140">
        <v>-0.31652999999999998</v>
      </c>
      <c r="K401" s="140">
        <v>19.77271</v>
      </c>
      <c r="L401" s="140">
        <v>19.404169999999997</v>
      </c>
      <c r="M401" s="143"/>
      <c r="N401" s="143"/>
      <c r="O401" s="623" t="e">
        <f t="shared" si="18"/>
        <v>#DIV/0!</v>
      </c>
      <c r="P401" s="140"/>
    </row>
    <row r="402" spans="1:16" s="382" customFormat="1" ht="29.45" customHeight="1">
      <c r="A402" s="138" t="s">
        <v>2336</v>
      </c>
      <c r="B402" s="137" t="s">
        <v>4081</v>
      </c>
      <c r="C402" s="138" t="s">
        <v>4082</v>
      </c>
      <c r="D402" s="138" t="s">
        <v>1266</v>
      </c>
      <c r="E402" s="138" t="s">
        <v>1571</v>
      </c>
      <c r="F402" s="420">
        <v>43100</v>
      </c>
      <c r="G402" s="141">
        <v>73.760279999999995</v>
      </c>
      <c r="H402" s="142" t="s">
        <v>189</v>
      </c>
      <c r="I402" s="141">
        <v>-9.4194099999999992</v>
      </c>
      <c r="J402" s="141">
        <v>53.718240000000002</v>
      </c>
      <c r="K402" s="142" t="s">
        <v>189</v>
      </c>
      <c r="L402" s="141">
        <v>63.904310000000009</v>
      </c>
      <c r="M402" s="142"/>
      <c r="N402" s="142"/>
      <c r="O402" s="623" t="e">
        <f t="shared" si="18"/>
        <v>#DIV/0!</v>
      </c>
      <c r="P402" s="140"/>
    </row>
    <row r="403" spans="1:16" s="382" customFormat="1" ht="43.15" customHeight="1">
      <c r="A403" s="136" t="s">
        <v>2338</v>
      </c>
      <c r="B403" s="135" t="s">
        <v>4083</v>
      </c>
      <c r="C403" s="136" t="s">
        <v>4084</v>
      </c>
      <c r="D403" s="136" t="s">
        <v>1429</v>
      </c>
      <c r="E403" s="136" t="s">
        <v>1571</v>
      </c>
      <c r="F403" s="419">
        <v>43100</v>
      </c>
      <c r="G403" s="140">
        <v>68.109610000000004</v>
      </c>
      <c r="H403" s="140">
        <v>2</v>
      </c>
      <c r="I403" s="140">
        <v>9.92E-3</v>
      </c>
      <c r="J403" s="140">
        <v>4.1770000000000002E-2</v>
      </c>
      <c r="K403" s="140">
        <v>24.545440000000003</v>
      </c>
      <c r="L403" s="140">
        <v>24.714548999999998</v>
      </c>
      <c r="M403" s="140">
        <v>2</v>
      </c>
      <c r="N403" s="143"/>
      <c r="O403" s="623">
        <f t="shared" si="18"/>
        <v>1</v>
      </c>
      <c r="P403" s="140">
        <f>O403*K403</f>
        <v>24.545440000000003</v>
      </c>
    </row>
    <row r="404" spans="1:16" s="382" customFormat="1" ht="17.100000000000001" customHeight="1">
      <c r="A404" s="138" t="s">
        <v>2340</v>
      </c>
      <c r="B404" s="137" t="s">
        <v>4085</v>
      </c>
      <c r="C404" s="138" t="s">
        <v>4086</v>
      </c>
      <c r="D404" s="138" t="s">
        <v>811</v>
      </c>
      <c r="E404" s="138" t="s">
        <v>1571</v>
      </c>
      <c r="F404" s="420">
        <v>42735</v>
      </c>
      <c r="G404" s="141">
        <v>66.497100000000003</v>
      </c>
      <c r="H404" s="141">
        <v>1</v>
      </c>
      <c r="I404" s="142" t="s">
        <v>189</v>
      </c>
      <c r="J404" s="141">
        <v>-35.691110000000002</v>
      </c>
      <c r="K404" s="141">
        <v>28.274400000000004</v>
      </c>
      <c r="L404" s="141">
        <v>-3.2266490000000001</v>
      </c>
      <c r="M404" s="142"/>
      <c r="N404" s="142"/>
      <c r="O404" s="623" t="e">
        <f t="shared" si="18"/>
        <v>#DIV/0!</v>
      </c>
      <c r="P404" s="140"/>
    </row>
    <row r="405" spans="1:16" s="382" customFormat="1" ht="29.45" customHeight="1">
      <c r="A405" s="136" t="s">
        <v>2342</v>
      </c>
      <c r="B405" s="135" t="s">
        <v>4087</v>
      </c>
      <c r="C405" s="136" t="s">
        <v>4088</v>
      </c>
      <c r="D405" s="136" t="s">
        <v>811</v>
      </c>
      <c r="E405" s="136" t="s">
        <v>1571</v>
      </c>
      <c r="F405" s="419">
        <v>42735</v>
      </c>
      <c r="G405" s="140">
        <v>64.263950000000008</v>
      </c>
      <c r="H405" s="140">
        <v>7</v>
      </c>
      <c r="I405" s="143" t="s">
        <v>189</v>
      </c>
      <c r="J405" s="140">
        <v>-269.22323000000006</v>
      </c>
      <c r="K405" s="140">
        <v>216.04098999999999</v>
      </c>
      <c r="L405" s="140">
        <v>-18.366529</v>
      </c>
      <c r="M405" s="143"/>
      <c r="N405" s="143"/>
      <c r="O405" s="623" t="e">
        <f t="shared" si="18"/>
        <v>#DIV/0!</v>
      </c>
      <c r="P405" s="140"/>
    </row>
    <row r="406" spans="1:16" s="382" customFormat="1" ht="29.45" customHeight="1">
      <c r="A406" s="138" t="s">
        <v>2344</v>
      </c>
      <c r="B406" s="137" t="s">
        <v>4089</v>
      </c>
      <c r="C406" s="138" t="s">
        <v>4090</v>
      </c>
      <c r="D406" s="138" t="s">
        <v>811</v>
      </c>
      <c r="E406" s="138" t="s">
        <v>1571</v>
      </c>
      <c r="F406" s="420">
        <v>43100</v>
      </c>
      <c r="G406" s="141">
        <v>54.61</v>
      </c>
      <c r="H406" s="142" t="s">
        <v>189</v>
      </c>
      <c r="I406" s="142" t="s">
        <v>189</v>
      </c>
      <c r="J406" s="141">
        <v>0.34051999999999999</v>
      </c>
      <c r="K406" s="141">
        <v>36</v>
      </c>
      <c r="L406" s="141">
        <v>44.621798999999996</v>
      </c>
      <c r="M406" s="142"/>
      <c r="N406" s="142"/>
      <c r="O406" s="623" t="e">
        <f t="shared" si="18"/>
        <v>#DIV/0!</v>
      </c>
      <c r="P406" s="140"/>
    </row>
    <row r="407" spans="1:16" s="382" customFormat="1" ht="29.45" customHeight="1">
      <c r="A407" s="136" t="s">
        <v>2346</v>
      </c>
      <c r="B407" s="135" t="s">
        <v>4091</v>
      </c>
      <c r="C407" s="136" t="s">
        <v>4092</v>
      </c>
      <c r="D407" s="136" t="s">
        <v>1474</v>
      </c>
      <c r="E407" s="136" t="s">
        <v>1571</v>
      </c>
      <c r="F407" s="419">
        <v>43100</v>
      </c>
      <c r="G407" s="140">
        <v>37.288319999999999</v>
      </c>
      <c r="H407" s="140">
        <v>2</v>
      </c>
      <c r="I407" s="140">
        <v>-145.44754999999998</v>
      </c>
      <c r="J407" s="140">
        <v>-374.00799000000006</v>
      </c>
      <c r="K407" s="140">
        <v>126.24840999999999</v>
      </c>
      <c r="L407" s="140">
        <v>-390.93327000000005</v>
      </c>
      <c r="M407" s="140">
        <v>1</v>
      </c>
      <c r="N407" s="140">
        <v>1</v>
      </c>
      <c r="O407" s="623">
        <f t="shared" si="18"/>
        <v>0.5</v>
      </c>
      <c r="P407" s="140">
        <f>O407*K407</f>
        <v>63.124204999999996</v>
      </c>
    </row>
    <row r="408" spans="1:16" s="382" customFormat="1" ht="29.45" customHeight="1">
      <c r="A408" s="138" t="s">
        <v>2348</v>
      </c>
      <c r="B408" s="137" t="s">
        <v>4093</v>
      </c>
      <c r="C408" s="138" t="s">
        <v>4094</v>
      </c>
      <c r="D408" s="138" t="s">
        <v>811</v>
      </c>
      <c r="E408" s="138" t="s">
        <v>1571</v>
      </c>
      <c r="F408" s="420">
        <v>43100</v>
      </c>
      <c r="G408" s="141">
        <v>34.365629999999996</v>
      </c>
      <c r="H408" s="141">
        <v>1</v>
      </c>
      <c r="I408" s="142" t="s">
        <v>189</v>
      </c>
      <c r="J408" s="141">
        <v>-1.8099800000000001</v>
      </c>
      <c r="K408" s="141">
        <v>3.68004</v>
      </c>
      <c r="L408" s="141">
        <v>7.1779200000000003</v>
      </c>
      <c r="M408" s="142"/>
      <c r="N408" s="142"/>
      <c r="O408" s="623" t="e">
        <f t="shared" si="18"/>
        <v>#DIV/0!</v>
      </c>
      <c r="P408" s="140"/>
    </row>
    <row r="409" spans="1:16" s="382" customFormat="1" ht="29.45" customHeight="1">
      <c r="A409" s="136" t="s">
        <v>2350</v>
      </c>
      <c r="B409" s="135" t="s">
        <v>4095</v>
      </c>
      <c r="C409" s="136" t="s">
        <v>4096</v>
      </c>
      <c r="D409" s="136" t="s">
        <v>1595</v>
      </c>
      <c r="E409" s="136" t="s">
        <v>1571</v>
      </c>
      <c r="F409" s="419">
        <v>43100</v>
      </c>
      <c r="G409" s="140">
        <v>31.829190000000001</v>
      </c>
      <c r="H409" s="140">
        <v>1</v>
      </c>
      <c r="I409" s="143" t="s">
        <v>189</v>
      </c>
      <c r="J409" s="140">
        <v>1.3314900000000001</v>
      </c>
      <c r="K409" s="143" t="s">
        <v>189</v>
      </c>
      <c r="L409" s="140">
        <v>1.3314900000000001</v>
      </c>
      <c r="M409" s="143"/>
      <c r="N409" s="140">
        <v>1</v>
      </c>
      <c r="O409" s="623">
        <f t="shared" si="18"/>
        <v>0</v>
      </c>
      <c r="P409" s="140"/>
    </row>
    <row r="410" spans="1:16" s="382" customFormat="1" ht="17.100000000000001" customHeight="1">
      <c r="A410" s="138" t="s">
        <v>2352</v>
      </c>
      <c r="B410" s="137" t="s">
        <v>4097</v>
      </c>
      <c r="C410" s="138" t="s">
        <v>4098</v>
      </c>
      <c r="D410" s="138" t="s">
        <v>811</v>
      </c>
      <c r="E410" s="138" t="s">
        <v>1571</v>
      </c>
      <c r="F410" s="420">
        <v>43100</v>
      </c>
      <c r="G410" s="142" t="s">
        <v>189</v>
      </c>
      <c r="H410" s="142" t="s">
        <v>189</v>
      </c>
      <c r="I410" s="142" t="s">
        <v>189</v>
      </c>
      <c r="J410" s="141">
        <v>-31.397690000000001</v>
      </c>
      <c r="K410" s="142" t="s">
        <v>189</v>
      </c>
      <c r="L410" s="141">
        <v>-29.152198999999996</v>
      </c>
      <c r="M410" s="142"/>
      <c r="N410" s="142"/>
      <c r="O410" s="623" t="e">
        <f t="shared" si="18"/>
        <v>#DIV/0!</v>
      </c>
      <c r="P410" s="140"/>
    </row>
    <row r="411" spans="1:16" s="382" customFormat="1" ht="29.45" customHeight="1">
      <c r="A411" s="136" t="s">
        <v>2354</v>
      </c>
      <c r="B411" s="135" t="s">
        <v>4099</v>
      </c>
      <c r="C411" s="136" t="s">
        <v>4100</v>
      </c>
      <c r="D411" s="136" t="s">
        <v>811</v>
      </c>
      <c r="E411" s="136" t="s">
        <v>1571</v>
      </c>
      <c r="F411" s="419">
        <v>43100</v>
      </c>
      <c r="G411" s="143" t="s">
        <v>189</v>
      </c>
      <c r="H411" s="143" t="s">
        <v>189</v>
      </c>
      <c r="I411" s="143" t="s">
        <v>189</v>
      </c>
      <c r="J411" s="140">
        <v>33.362540000000003</v>
      </c>
      <c r="K411" s="143" t="s">
        <v>189</v>
      </c>
      <c r="L411" s="140">
        <v>33.558430000000001</v>
      </c>
      <c r="M411" s="143"/>
      <c r="N411" s="143"/>
      <c r="O411" s="623" t="e">
        <f t="shared" ref="O411" si="19">M411/(M411+N411)</f>
        <v>#DIV/0!</v>
      </c>
      <c r="P411" s="140"/>
    </row>
    <row r="412" spans="1:16" s="382" customFormat="1" ht="12.75">
      <c r="A412" s="136"/>
      <c r="B412" s="137"/>
      <c r="C412" s="138"/>
      <c r="D412" s="138"/>
      <c r="E412" s="136"/>
      <c r="F412" s="419"/>
      <c r="G412" s="140"/>
      <c r="H412" s="140"/>
      <c r="I412" s="140"/>
      <c r="J412" s="140"/>
      <c r="K412" s="140"/>
      <c r="L412" s="140"/>
      <c r="O412" s="619"/>
    </row>
    <row r="413" spans="1:16" s="382" customFormat="1" ht="12.75">
      <c r="A413" s="138"/>
      <c r="B413" s="135"/>
      <c r="C413" s="136"/>
      <c r="D413" s="136"/>
      <c r="E413" s="138"/>
      <c r="F413" s="420"/>
      <c r="G413" s="141"/>
      <c r="H413" s="141"/>
      <c r="I413" s="141"/>
      <c r="J413" s="141"/>
      <c r="K413" s="141"/>
      <c r="L413" s="141"/>
      <c r="O413" s="619"/>
    </row>
    <row r="414" spans="1:16" s="382" customFormat="1" ht="12.75">
      <c r="A414" s="136"/>
      <c r="B414" s="137"/>
      <c r="C414" s="138"/>
      <c r="D414" s="138"/>
      <c r="E414" s="136"/>
      <c r="F414" s="419"/>
      <c r="G414" s="140"/>
      <c r="H414" s="140"/>
      <c r="I414" s="140"/>
      <c r="J414" s="140"/>
      <c r="K414" s="140"/>
      <c r="L414" s="140"/>
      <c r="O414" s="619"/>
    </row>
    <row r="415" spans="1:16" s="382" customFormat="1" ht="12.75">
      <c r="A415" s="138"/>
      <c r="B415" s="135"/>
      <c r="C415" s="136"/>
      <c r="D415" s="136"/>
      <c r="E415" s="138"/>
      <c r="F415" s="420"/>
      <c r="G415" s="141"/>
      <c r="H415" s="141"/>
      <c r="I415" s="142"/>
      <c r="J415" s="141"/>
      <c r="K415" s="141"/>
      <c r="L415" s="141"/>
      <c r="O415" s="619"/>
    </row>
    <row r="416" spans="1:16" s="382" customFormat="1" ht="12.75">
      <c r="A416" s="136"/>
      <c r="B416" s="137"/>
      <c r="C416" s="138"/>
      <c r="D416" s="138"/>
      <c r="E416" s="136"/>
      <c r="F416" s="419"/>
      <c r="G416" s="140"/>
      <c r="H416" s="140"/>
      <c r="I416" s="140"/>
      <c r="J416" s="140"/>
      <c r="K416" s="140"/>
      <c r="L416" s="140"/>
      <c r="O416" s="619"/>
    </row>
    <row r="417" spans="1:15" s="382" customFormat="1" ht="12.75">
      <c r="A417" s="138"/>
      <c r="B417" s="135"/>
      <c r="C417" s="136"/>
      <c r="D417" s="136"/>
      <c r="E417" s="138"/>
      <c r="F417" s="420"/>
      <c r="G417" s="141"/>
      <c r="H417" s="141"/>
      <c r="I417" s="141"/>
      <c r="J417" s="141"/>
      <c r="K417" s="141"/>
      <c r="L417" s="141"/>
      <c r="O417" s="619"/>
    </row>
    <row r="418" spans="1:15" s="382" customFormat="1" ht="12.75">
      <c r="A418" s="136"/>
      <c r="B418" s="137"/>
      <c r="C418" s="138"/>
      <c r="D418" s="138"/>
      <c r="E418" s="136"/>
      <c r="F418" s="419"/>
      <c r="G418" s="140"/>
      <c r="H418" s="140"/>
      <c r="I418" s="140"/>
      <c r="J418" s="140"/>
      <c r="K418" s="140"/>
      <c r="L418" s="140"/>
      <c r="O418" s="619"/>
    </row>
    <row r="419" spans="1:15" s="382" customFormat="1" ht="12.75">
      <c r="A419" s="138"/>
      <c r="B419" s="421"/>
      <c r="C419" s="136"/>
      <c r="D419" s="136"/>
      <c r="E419" s="138"/>
      <c r="F419" s="420"/>
      <c r="G419" s="141"/>
      <c r="H419" s="141"/>
      <c r="I419" s="141"/>
      <c r="J419" s="141"/>
      <c r="K419" s="141"/>
      <c r="L419" s="141"/>
      <c r="O419" s="619"/>
    </row>
    <row r="420" spans="1:15" s="382" customFormat="1" ht="12.75">
      <c r="A420" s="136"/>
      <c r="B420" s="137"/>
      <c r="C420" s="138"/>
      <c r="D420" s="138"/>
      <c r="E420" s="136"/>
      <c r="F420" s="419"/>
      <c r="G420" s="140"/>
      <c r="H420" s="140"/>
      <c r="I420" s="140"/>
      <c r="J420" s="140"/>
      <c r="K420" s="140"/>
      <c r="L420" s="140"/>
      <c r="O420" s="619"/>
    </row>
    <row r="421" spans="1:15" s="382" customFormat="1" ht="12.75">
      <c r="A421" s="138"/>
      <c r="B421" s="135"/>
      <c r="C421" s="136"/>
      <c r="D421" s="136"/>
      <c r="E421" s="138"/>
      <c r="F421" s="420"/>
      <c r="G421" s="141"/>
      <c r="H421" s="141"/>
      <c r="I421" s="141"/>
      <c r="J421" s="141"/>
      <c r="K421" s="141"/>
      <c r="L421" s="141"/>
      <c r="O421" s="619"/>
    </row>
    <row r="422" spans="1:15" s="382" customFormat="1" ht="12.75">
      <c r="A422" s="136"/>
      <c r="B422" s="137"/>
      <c r="C422" s="138"/>
      <c r="D422" s="138"/>
      <c r="E422" s="136"/>
      <c r="F422" s="419"/>
      <c r="G422" s="140"/>
      <c r="H422" s="140"/>
      <c r="I422" s="143"/>
      <c r="J422" s="140"/>
      <c r="K422" s="140"/>
      <c r="L422" s="140"/>
      <c r="O422" s="619"/>
    </row>
    <row r="423" spans="1:15" s="382" customFormat="1" ht="12.75">
      <c r="A423" s="138"/>
      <c r="B423" s="135"/>
      <c r="C423" s="136"/>
      <c r="D423" s="136"/>
      <c r="E423" s="138"/>
      <c r="F423" s="420"/>
      <c r="G423" s="141"/>
      <c r="H423" s="141"/>
      <c r="I423" s="141"/>
      <c r="J423" s="141"/>
      <c r="K423" s="141"/>
      <c r="L423" s="141"/>
      <c r="O423" s="619"/>
    </row>
    <row r="424" spans="1:15" s="382" customFormat="1" ht="12.75">
      <c r="A424" s="136"/>
      <c r="B424" s="137"/>
      <c r="C424" s="138"/>
      <c r="D424" s="138"/>
      <c r="E424" s="136"/>
      <c r="F424" s="419"/>
      <c r="G424" s="140"/>
      <c r="H424" s="140"/>
      <c r="I424" s="140"/>
      <c r="J424" s="140"/>
      <c r="K424" s="140"/>
      <c r="L424" s="140"/>
      <c r="O424" s="619"/>
    </row>
    <row r="425" spans="1:15" s="382" customFormat="1" ht="12.75">
      <c r="A425" s="138"/>
      <c r="B425" s="135"/>
      <c r="C425" s="136"/>
      <c r="D425" s="136"/>
      <c r="E425" s="138"/>
      <c r="F425" s="420"/>
      <c r="G425" s="141"/>
      <c r="H425" s="141"/>
      <c r="I425" s="141"/>
      <c r="J425" s="141"/>
      <c r="K425" s="141"/>
      <c r="L425" s="141"/>
      <c r="O425" s="619"/>
    </row>
    <row r="426" spans="1:15" s="382" customFormat="1" ht="12.75">
      <c r="A426" s="136"/>
      <c r="B426" s="137"/>
      <c r="C426" s="138"/>
      <c r="D426" s="138"/>
      <c r="E426" s="136"/>
      <c r="F426" s="419"/>
      <c r="G426" s="140"/>
      <c r="H426" s="140"/>
      <c r="I426" s="140"/>
      <c r="J426" s="140"/>
      <c r="K426" s="140"/>
      <c r="L426" s="140"/>
      <c r="O426" s="619"/>
    </row>
    <row r="427" spans="1:15" s="382" customFormat="1" ht="12.75">
      <c r="A427" s="138"/>
      <c r="B427" s="135"/>
      <c r="C427" s="136"/>
      <c r="D427" s="136"/>
      <c r="E427" s="138"/>
      <c r="F427" s="420"/>
      <c r="G427" s="141"/>
      <c r="H427" s="141"/>
      <c r="I427" s="141"/>
      <c r="J427" s="141"/>
      <c r="K427" s="141"/>
      <c r="L427" s="141"/>
      <c r="O427" s="619"/>
    </row>
    <row r="428" spans="1:15" s="382" customFormat="1" ht="12.75">
      <c r="A428" s="136"/>
      <c r="B428" s="137"/>
      <c r="C428" s="138"/>
      <c r="D428" s="138"/>
      <c r="E428" s="136"/>
      <c r="F428" s="419"/>
      <c r="G428" s="140"/>
      <c r="H428" s="140"/>
      <c r="I428" s="140"/>
      <c r="J428" s="140"/>
      <c r="K428" s="140"/>
      <c r="L428" s="140"/>
      <c r="O428" s="619"/>
    </row>
    <row r="429" spans="1:15" s="382" customFormat="1" ht="12.75">
      <c r="A429" s="138"/>
      <c r="B429" s="135"/>
      <c r="C429" s="136"/>
      <c r="D429" s="136"/>
      <c r="E429" s="138"/>
      <c r="F429" s="420"/>
      <c r="G429" s="141"/>
      <c r="H429" s="141"/>
      <c r="I429" s="141"/>
      <c r="J429" s="141"/>
      <c r="K429" s="141"/>
      <c r="L429" s="141"/>
      <c r="O429" s="619"/>
    </row>
    <row r="430" spans="1:15" s="382" customFormat="1" ht="12.75">
      <c r="A430" s="136"/>
      <c r="B430" s="137"/>
      <c r="C430" s="138"/>
      <c r="D430" s="138"/>
      <c r="E430" s="136"/>
      <c r="F430" s="419"/>
      <c r="G430" s="140"/>
      <c r="H430" s="140"/>
      <c r="I430" s="143"/>
      <c r="J430" s="140"/>
      <c r="K430" s="140"/>
      <c r="L430" s="140"/>
      <c r="O430" s="619"/>
    </row>
    <row r="431" spans="1:15" s="382" customFormat="1" ht="12.75">
      <c r="A431" s="138"/>
      <c r="B431" s="135"/>
      <c r="C431" s="136"/>
      <c r="D431" s="136"/>
      <c r="E431" s="138"/>
      <c r="F431" s="420"/>
      <c r="G431" s="141"/>
      <c r="H431" s="141"/>
      <c r="I431" s="141"/>
      <c r="J431" s="141"/>
      <c r="K431" s="141"/>
      <c r="L431" s="141"/>
      <c r="O431" s="619"/>
    </row>
    <row r="432" spans="1:15" s="382" customFormat="1" ht="12.75">
      <c r="A432" s="136"/>
      <c r="B432" s="137"/>
      <c r="C432" s="138"/>
      <c r="D432" s="138"/>
      <c r="E432" s="136"/>
      <c r="F432" s="419"/>
      <c r="G432" s="140"/>
      <c r="H432" s="140"/>
      <c r="I432" s="140"/>
      <c r="J432" s="140"/>
      <c r="K432" s="140"/>
      <c r="L432" s="140"/>
      <c r="O432" s="619"/>
    </row>
    <row r="433" spans="1:15" s="382" customFormat="1" ht="12.75">
      <c r="A433" s="138"/>
      <c r="B433" s="135"/>
      <c r="C433" s="136"/>
      <c r="D433" s="136"/>
      <c r="E433" s="138"/>
      <c r="F433" s="420"/>
      <c r="G433" s="141"/>
      <c r="H433" s="141"/>
      <c r="I433" s="141"/>
      <c r="J433" s="141"/>
      <c r="K433" s="141"/>
      <c r="L433" s="141"/>
      <c r="O433" s="619"/>
    </row>
    <row r="434" spans="1:15" s="382" customFormat="1" ht="12.75">
      <c r="A434" s="136"/>
      <c r="B434" s="137"/>
      <c r="C434" s="138"/>
      <c r="D434" s="138"/>
      <c r="E434" s="136"/>
      <c r="F434" s="419"/>
      <c r="G434" s="140"/>
      <c r="H434" s="140"/>
      <c r="I434" s="143"/>
      <c r="J434" s="140"/>
      <c r="K434" s="140"/>
      <c r="L434" s="140"/>
      <c r="O434" s="619"/>
    </row>
    <row r="435" spans="1:15" s="382" customFormat="1" ht="12.75">
      <c r="A435" s="138"/>
      <c r="B435" s="135"/>
      <c r="C435" s="136"/>
      <c r="D435" s="136"/>
      <c r="E435" s="138"/>
      <c r="F435" s="420"/>
      <c r="G435" s="141"/>
      <c r="H435" s="141"/>
      <c r="I435" s="141"/>
      <c r="J435" s="141"/>
      <c r="K435" s="141"/>
      <c r="L435" s="141"/>
      <c r="O435" s="619"/>
    </row>
    <row r="436" spans="1:15" s="382" customFormat="1" ht="12.75">
      <c r="A436" s="136"/>
      <c r="B436" s="137"/>
      <c r="C436" s="138"/>
      <c r="D436" s="138"/>
      <c r="E436" s="136"/>
      <c r="F436" s="419"/>
      <c r="G436" s="140"/>
      <c r="H436" s="140"/>
      <c r="I436" s="140"/>
      <c r="J436" s="140"/>
      <c r="K436" s="140"/>
      <c r="L436" s="140"/>
      <c r="O436" s="619"/>
    </row>
    <row r="437" spans="1:15" s="382" customFormat="1" ht="12.75">
      <c r="A437" s="138"/>
      <c r="B437" s="135"/>
      <c r="C437" s="136"/>
      <c r="D437" s="136"/>
      <c r="E437" s="138"/>
      <c r="F437" s="420"/>
      <c r="G437" s="141"/>
      <c r="H437" s="141"/>
      <c r="I437" s="141"/>
      <c r="J437" s="141"/>
      <c r="K437" s="141"/>
      <c r="L437" s="141"/>
      <c r="O437" s="619"/>
    </row>
    <row r="438" spans="1:15" s="382" customFormat="1" ht="12.75">
      <c r="A438" s="136"/>
      <c r="B438" s="137"/>
      <c r="C438" s="138"/>
      <c r="D438" s="138"/>
      <c r="E438" s="136"/>
      <c r="F438" s="419"/>
      <c r="G438" s="140"/>
      <c r="H438" s="140"/>
      <c r="I438" s="140"/>
      <c r="J438" s="140"/>
      <c r="K438" s="140"/>
      <c r="L438" s="140"/>
      <c r="O438" s="619"/>
    </row>
    <row r="439" spans="1:15" s="382" customFormat="1" ht="12.75">
      <c r="A439" s="138"/>
      <c r="B439" s="135"/>
      <c r="C439" s="136"/>
      <c r="D439" s="136"/>
      <c r="E439" s="138"/>
      <c r="F439" s="420"/>
      <c r="G439" s="141"/>
      <c r="H439" s="141"/>
      <c r="I439" s="141"/>
      <c r="J439" s="141"/>
      <c r="K439" s="141"/>
      <c r="L439" s="141"/>
      <c r="O439" s="619"/>
    </row>
    <row r="440" spans="1:15" s="382" customFormat="1" ht="12.75">
      <c r="A440" s="136"/>
      <c r="B440" s="137"/>
      <c r="C440" s="138"/>
      <c r="D440" s="138"/>
      <c r="E440" s="136"/>
      <c r="F440" s="419"/>
      <c r="G440" s="140"/>
      <c r="H440" s="140"/>
      <c r="I440" s="140"/>
      <c r="J440" s="140"/>
      <c r="K440" s="140"/>
      <c r="L440" s="140"/>
      <c r="O440" s="619"/>
    </row>
    <row r="441" spans="1:15" s="382" customFormat="1" ht="12.75">
      <c r="A441" s="138"/>
      <c r="B441" s="135"/>
      <c r="C441" s="136"/>
      <c r="D441" s="136"/>
      <c r="E441" s="138"/>
      <c r="F441" s="420"/>
      <c r="G441" s="141"/>
      <c r="H441" s="141"/>
      <c r="I441" s="141"/>
      <c r="J441" s="141"/>
      <c r="K441" s="141"/>
      <c r="L441" s="141"/>
      <c r="O441" s="619"/>
    </row>
    <row r="442" spans="1:15" s="382" customFormat="1" ht="12.75">
      <c r="A442" s="136"/>
      <c r="B442" s="137"/>
      <c r="C442" s="138"/>
      <c r="D442" s="138"/>
      <c r="E442" s="136"/>
      <c r="F442" s="419"/>
      <c r="G442" s="140"/>
      <c r="H442" s="140"/>
      <c r="I442" s="143"/>
      <c r="J442" s="140"/>
      <c r="K442" s="140"/>
      <c r="L442" s="140"/>
      <c r="O442" s="619"/>
    </row>
    <row r="443" spans="1:15" s="382" customFormat="1" ht="12.75">
      <c r="A443" s="138"/>
      <c r="B443" s="135"/>
      <c r="C443" s="136"/>
      <c r="D443" s="136"/>
      <c r="E443" s="138"/>
      <c r="F443" s="420"/>
      <c r="G443" s="141"/>
      <c r="H443" s="141"/>
      <c r="I443" s="141"/>
      <c r="J443" s="141"/>
      <c r="K443" s="141"/>
      <c r="L443" s="141"/>
      <c r="O443" s="619"/>
    </row>
    <row r="444" spans="1:15" s="382" customFormat="1" ht="12.75">
      <c r="A444" s="136"/>
      <c r="B444" s="137"/>
      <c r="C444" s="138"/>
      <c r="D444" s="138"/>
      <c r="E444" s="136"/>
      <c r="F444" s="419"/>
      <c r="G444" s="140"/>
      <c r="H444" s="140"/>
      <c r="I444" s="140"/>
      <c r="J444" s="140"/>
      <c r="K444" s="140"/>
      <c r="L444" s="140"/>
      <c r="O444" s="619"/>
    </row>
    <row r="445" spans="1:15" s="382" customFormat="1" ht="12.75">
      <c r="A445" s="138"/>
      <c r="B445" s="135"/>
      <c r="C445" s="136"/>
      <c r="D445" s="136"/>
      <c r="E445" s="138"/>
      <c r="F445" s="420"/>
      <c r="G445" s="141"/>
      <c r="H445" s="141"/>
      <c r="I445" s="142"/>
      <c r="J445" s="141"/>
      <c r="K445" s="141"/>
      <c r="L445" s="141"/>
      <c r="O445" s="619"/>
    </row>
    <row r="446" spans="1:15" s="382" customFormat="1" ht="12.75">
      <c r="A446" s="136"/>
      <c r="B446" s="137"/>
      <c r="C446" s="138"/>
      <c r="D446" s="138"/>
      <c r="E446" s="136"/>
      <c r="F446" s="419"/>
      <c r="G446" s="140"/>
      <c r="H446" s="140"/>
      <c r="I446" s="140"/>
      <c r="J446" s="140"/>
      <c r="K446" s="140"/>
      <c r="L446" s="140"/>
      <c r="O446" s="619"/>
    </row>
    <row r="447" spans="1:15" s="382" customFormat="1" ht="12.75">
      <c r="A447" s="138"/>
      <c r="B447" s="135"/>
      <c r="C447" s="136"/>
      <c r="D447" s="136"/>
      <c r="E447" s="138"/>
      <c r="F447" s="420"/>
      <c r="G447" s="141"/>
      <c r="H447" s="141"/>
      <c r="I447" s="141"/>
      <c r="J447" s="141"/>
      <c r="K447" s="141"/>
      <c r="L447" s="141"/>
      <c r="O447" s="619"/>
    </row>
    <row r="448" spans="1:15" s="382" customFormat="1" ht="12.75">
      <c r="A448" s="136"/>
      <c r="B448" s="137"/>
      <c r="C448" s="138"/>
      <c r="D448" s="138"/>
      <c r="E448" s="136"/>
      <c r="F448" s="419"/>
      <c r="G448" s="140"/>
      <c r="H448" s="140"/>
      <c r="I448" s="140"/>
      <c r="J448" s="140"/>
      <c r="K448" s="140"/>
      <c r="L448" s="140"/>
      <c r="O448" s="619"/>
    </row>
    <row r="449" spans="1:15" s="382" customFormat="1" ht="12.75">
      <c r="A449" s="138"/>
      <c r="B449" s="135"/>
      <c r="C449" s="136"/>
      <c r="D449" s="136"/>
      <c r="E449" s="138"/>
      <c r="F449" s="420"/>
      <c r="G449" s="141"/>
      <c r="H449" s="141"/>
      <c r="I449" s="141"/>
      <c r="J449" s="141"/>
      <c r="K449" s="141"/>
      <c r="L449" s="141"/>
      <c r="O449" s="619"/>
    </row>
    <row r="450" spans="1:15" s="382" customFormat="1" ht="12.75">
      <c r="A450" s="136"/>
      <c r="B450" s="137"/>
      <c r="C450" s="138"/>
      <c r="D450" s="138"/>
      <c r="E450" s="136"/>
      <c r="F450" s="419"/>
      <c r="G450" s="140"/>
      <c r="H450" s="140"/>
      <c r="I450" s="143"/>
      <c r="J450" s="140"/>
      <c r="K450" s="140"/>
      <c r="L450" s="140"/>
      <c r="O450" s="619"/>
    </row>
    <row r="451" spans="1:15" s="382" customFormat="1" ht="12.75">
      <c r="A451" s="138"/>
      <c r="B451" s="135"/>
      <c r="C451" s="136"/>
      <c r="D451" s="136"/>
      <c r="E451" s="138"/>
      <c r="F451" s="420"/>
      <c r="G451" s="141"/>
      <c r="H451" s="141"/>
      <c r="I451" s="142"/>
      <c r="J451" s="141"/>
      <c r="K451" s="141"/>
      <c r="L451" s="141"/>
      <c r="O451" s="619"/>
    </row>
    <row r="452" spans="1:15" s="382" customFormat="1" ht="12.75">
      <c r="A452" s="136"/>
      <c r="B452" s="137"/>
      <c r="C452" s="138"/>
      <c r="D452" s="138"/>
      <c r="E452" s="136"/>
      <c r="F452" s="419"/>
      <c r="G452" s="140"/>
      <c r="H452" s="140"/>
      <c r="I452" s="140"/>
      <c r="J452" s="140"/>
      <c r="K452" s="140"/>
      <c r="L452" s="140"/>
      <c r="O452" s="619"/>
    </row>
    <row r="453" spans="1:15" s="382" customFormat="1" ht="12.75">
      <c r="A453" s="138"/>
      <c r="B453" s="135"/>
      <c r="C453" s="136"/>
      <c r="D453" s="136"/>
      <c r="E453" s="138"/>
      <c r="F453" s="420"/>
      <c r="G453" s="141"/>
      <c r="H453" s="141"/>
      <c r="I453" s="142"/>
      <c r="J453" s="141"/>
      <c r="K453" s="141"/>
      <c r="L453" s="141"/>
      <c r="O453" s="619"/>
    </row>
    <row r="454" spans="1:15" s="382" customFormat="1" ht="12.75">
      <c r="A454" s="136"/>
      <c r="B454" s="137"/>
      <c r="C454" s="138"/>
      <c r="D454" s="138"/>
      <c r="E454" s="136"/>
      <c r="F454" s="419"/>
      <c r="G454" s="140"/>
      <c r="H454" s="140"/>
      <c r="I454" s="140"/>
      <c r="J454" s="140"/>
      <c r="K454" s="140"/>
      <c r="L454" s="140"/>
      <c r="O454" s="619"/>
    </row>
    <row r="455" spans="1:15" s="382" customFormat="1" ht="12.75">
      <c r="A455" s="138"/>
      <c r="B455" s="135"/>
      <c r="C455" s="136"/>
      <c r="D455" s="136"/>
      <c r="E455" s="138"/>
      <c r="F455" s="420"/>
      <c r="G455" s="141"/>
      <c r="H455" s="141"/>
      <c r="I455" s="142"/>
      <c r="J455" s="141"/>
      <c r="K455" s="141"/>
      <c r="L455" s="141"/>
      <c r="O455" s="619"/>
    </row>
    <row r="456" spans="1:15" s="382" customFormat="1" ht="12.75">
      <c r="A456" s="136"/>
      <c r="B456" s="137"/>
      <c r="C456" s="138"/>
      <c r="D456" s="138"/>
      <c r="E456" s="136"/>
      <c r="F456" s="419"/>
      <c r="G456" s="140"/>
      <c r="H456" s="140"/>
      <c r="I456" s="140"/>
      <c r="J456" s="140"/>
      <c r="K456" s="140"/>
      <c r="L456" s="140"/>
      <c r="O456" s="619"/>
    </row>
    <row r="457" spans="1:15" s="382" customFormat="1" ht="12.75">
      <c r="A457" s="138"/>
      <c r="B457" s="135"/>
      <c r="C457" s="136"/>
      <c r="D457" s="136"/>
      <c r="E457" s="138"/>
      <c r="F457" s="420"/>
      <c r="G457" s="141"/>
      <c r="H457" s="141"/>
      <c r="I457" s="141"/>
      <c r="J457" s="141"/>
      <c r="K457" s="141"/>
      <c r="L457" s="141"/>
      <c r="O457" s="619"/>
    </row>
    <row r="458" spans="1:15" s="382" customFormat="1" ht="12.75">
      <c r="A458" s="136"/>
      <c r="B458" s="137"/>
      <c r="C458" s="138"/>
      <c r="D458" s="138"/>
      <c r="E458" s="136"/>
      <c r="F458" s="419"/>
      <c r="G458" s="140"/>
      <c r="H458" s="140"/>
      <c r="I458" s="140"/>
      <c r="J458" s="140"/>
      <c r="K458" s="140"/>
      <c r="L458" s="140"/>
      <c r="O458" s="619"/>
    </row>
    <row r="459" spans="1:15" s="382" customFormat="1" ht="12.75">
      <c r="A459" s="138"/>
      <c r="B459" s="135"/>
      <c r="C459" s="136"/>
      <c r="D459" s="136"/>
      <c r="E459" s="138"/>
      <c r="F459" s="420"/>
      <c r="G459" s="141"/>
      <c r="H459" s="141"/>
      <c r="I459" s="141"/>
      <c r="J459" s="141"/>
      <c r="K459" s="141"/>
      <c r="L459" s="141"/>
      <c r="O459" s="619"/>
    </row>
    <row r="460" spans="1:15" s="382" customFormat="1" ht="12.75">
      <c r="A460" s="136"/>
      <c r="B460" s="137"/>
      <c r="C460" s="138"/>
      <c r="D460" s="138"/>
      <c r="E460" s="136"/>
      <c r="F460" s="419"/>
      <c r="G460" s="140"/>
      <c r="H460" s="140"/>
      <c r="I460" s="140"/>
      <c r="J460" s="140"/>
      <c r="K460" s="140"/>
      <c r="L460" s="140"/>
      <c r="O460" s="619"/>
    </row>
    <row r="461" spans="1:15" s="382" customFormat="1" ht="12.75">
      <c r="A461" s="138"/>
      <c r="B461" s="135"/>
      <c r="C461" s="136"/>
      <c r="D461" s="136"/>
      <c r="E461" s="138"/>
      <c r="F461" s="420"/>
      <c r="G461" s="141"/>
      <c r="H461" s="141"/>
      <c r="I461" s="141"/>
      <c r="J461" s="141"/>
      <c r="K461" s="141"/>
      <c r="L461" s="141"/>
      <c r="O461" s="619"/>
    </row>
    <row r="462" spans="1:15" s="382" customFormat="1" ht="12.75">
      <c r="A462" s="136"/>
      <c r="B462" s="137"/>
      <c r="C462" s="138"/>
      <c r="D462" s="138"/>
      <c r="E462" s="136"/>
      <c r="F462" s="419"/>
      <c r="G462" s="140"/>
      <c r="H462" s="140"/>
      <c r="I462" s="140"/>
      <c r="J462" s="140"/>
      <c r="K462" s="140"/>
      <c r="L462" s="140"/>
      <c r="O462" s="619"/>
    </row>
    <row r="463" spans="1:15" s="382" customFormat="1" ht="12.75">
      <c r="A463" s="138"/>
      <c r="B463" s="135"/>
      <c r="C463" s="136"/>
      <c r="D463" s="136"/>
      <c r="E463" s="138"/>
      <c r="F463" s="420"/>
      <c r="G463" s="141"/>
      <c r="H463" s="142"/>
      <c r="I463" s="141"/>
      <c r="J463" s="141"/>
      <c r="K463" s="141"/>
      <c r="L463" s="141"/>
      <c r="O463" s="619"/>
    </row>
    <row r="464" spans="1:15" s="382" customFormat="1" ht="12.75">
      <c r="A464" s="136"/>
      <c r="B464" s="137"/>
      <c r="C464" s="138"/>
      <c r="D464" s="138"/>
      <c r="E464" s="136"/>
      <c r="F464" s="419"/>
      <c r="G464" s="140"/>
      <c r="H464" s="140"/>
      <c r="I464" s="140"/>
      <c r="J464" s="140"/>
      <c r="K464" s="140"/>
      <c r="L464" s="140"/>
      <c r="O464" s="619"/>
    </row>
    <row r="465" spans="1:15" s="382" customFormat="1" ht="12.75">
      <c r="A465" s="138"/>
      <c r="B465" s="135"/>
      <c r="C465" s="136"/>
      <c r="D465" s="136"/>
      <c r="E465" s="138"/>
      <c r="F465" s="420"/>
      <c r="G465" s="141"/>
      <c r="H465" s="141"/>
      <c r="I465" s="141"/>
      <c r="J465" s="141"/>
      <c r="K465" s="141"/>
      <c r="L465" s="141"/>
      <c r="O465" s="619"/>
    </row>
    <row r="466" spans="1:15" s="382" customFormat="1" ht="12.75">
      <c r="A466" s="136"/>
      <c r="B466" s="137"/>
      <c r="C466" s="138"/>
      <c r="D466" s="138"/>
      <c r="E466" s="136"/>
      <c r="F466" s="419"/>
      <c r="G466" s="140"/>
      <c r="H466" s="140"/>
      <c r="I466" s="140"/>
      <c r="J466" s="140"/>
      <c r="K466" s="140"/>
      <c r="L466" s="140"/>
      <c r="O466" s="619"/>
    </row>
    <row r="467" spans="1:15" s="382" customFormat="1" ht="12.75">
      <c r="A467" s="138"/>
      <c r="B467" s="135"/>
      <c r="C467" s="136"/>
      <c r="D467" s="136"/>
      <c r="E467" s="138"/>
      <c r="F467" s="420"/>
      <c r="G467" s="141"/>
      <c r="H467" s="141"/>
      <c r="I467" s="141"/>
      <c r="J467" s="141"/>
      <c r="K467" s="141"/>
      <c r="L467" s="141"/>
      <c r="O467" s="619"/>
    </row>
    <row r="468" spans="1:15" s="382" customFormat="1" ht="12.75">
      <c r="A468" s="136"/>
      <c r="B468" s="137"/>
      <c r="C468" s="138"/>
      <c r="D468" s="138"/>
      <c r="E468" s="136"/>
      <c r="F468" s="419"/>
      <c r="G468" s="140"/>
      <c r="H468" s="140"/>
      <c r="I468" s="140"/>
      <c r="J468" s="140"/>
      <c r="K468" s="140"/>
      <c r="L468" s="140"/>
      <c r="O468" s="619"/>
    </row>
    <row r="469" spans="1:15" s="382" customFormat="1" ht="12.75">
      <c r="A469" s="138"/>
      <c r="B469" s="135"/>
      <c r="C469" s="136"/>
      <c r="D469" s="136"/>
      <c r="E469" s="138"/>
      <c r="F469" s="420"/>
      <c r="G469" s="141"/>
      <c r="H469" s="141"/>
      <c r="I469" s="141"/>
      <c r="J469" s="141"/>
      <c r="K469" s="141"/>
      <c r="L469" s="141"/>
      <c r="O469" s="619"/>
    </row>
    <row r="470" spans="1:15" s="382" customFormat="1" ht="12.75">
      <c r="A470" s="136"/>
      <c r="B470" s="137"/>
      <c r="C470" s="138"/>
      <c r="D470" s="138"/>
      <c r="E470" s="136"/>
      <c r="F470" s="419"/>
      <c r="G470" s="140"/>
      <c r="H470" s="140"/>
      <c r="I470" s="140"/>
      <c r="J470" s="140"/>
      <c r="K470" s="140"/>
      <c r="L470" s="140"/>
      <c r="O470" s="619"/>
    </row>
    <row r="471" spans="1:15" s="382" customFormat="1" ht="12.75">
      <c r="A471" s="138"/>
      <c r="B471" s="135"/>
      <c r="C471" s="136"/>
      <c r="D471" s="136"/>
      <c r="E471" s="138"/>
      <c r="F471" s="420"/>
      <c r="G471" s="141"/>
      <c r="H471" s="141"/>
      <c r="I471" s="141"/>
      <c r="J471" s="141"/>
      <c r="K471" s="141"/>
      <c r="L471" s="141"/>
      <c r="O471" s="619"/>
    </row>
    <row r="472" spans="1:15" s="382" customFormat="1" ht="12.75">
      <c r="A472" s="136"/>
      <c r="B472" s="137"/>
      <c r="C472" s="138"/>
      <c r="D472" s="138"/>
      <c r="E472" s="136"/>
      <c r="F472" s="419"/>
      <c r="G472" s="140"/>
      <c r="H472" s="140"/>
      <c r="I472" s="143"/>
      <c r="J472" s="140"/>
      <c r="K472" s="140"/>
      <c r="L472" s="140"/>
      <c r="O472" s="619"/>
    </row>
    <row r="473" spans="1:15" s="382" customFormat="1" ht="12.75">
      <c r="A473" s="138"/>
      <c r="B473" s="135"/>
      <c r="C473" s="136"/>
      <c r="D473" s="136"/>
      <c r="E473" s="138"/>
      <c r="F473" s="420"/>
      <c r="G473" s="141"/>
      <c r="H473" s="141"/>
      <c r="I473" s="142"/>
      <c r="J473" s="141"/>
      <c r="K473" s="141"/>
      <c r="L473" s="141"/>
      <c r="O473" s="619"/>
    </row>
    <row r="474" spans="1:15" s="382" customFormat="1" ht="12.75">
      <c r="A474" s="136"/>
      <c r="B474" s="137"/>
      <c r="C474" s="138"/>
      <c r="D474" s="138"/>
      <c r="E474" s="136"/>
      <c r="F474" s="419"/>
      <c r="G474" s="140"/>
      <c r="H474" s="140"/>
      <c r="I474" s="143"/>
      <c r="J474" s="140"/>
      <c r="K474" s="140"/>
      <c r="L474" s="140"/>
      <c r="O474" s="619"/>
    </row>
    <row r="475" spans="1:15" s="382" customFormat="1" ht="12.75">
      <c r="A475" s="138"/>
      <c r="B475" s="135"/>
      <c r="C475" s="136"/>
      <c r="D475" s="136"/>
      <c r="E475" s="138"/>
      <c r="F475" s="420"/>
      <c r="G475" s="141"/>
      <c r="H475" s="141"/>
      <c r="I475" s="142"/>
      <c r="J475" s="141"/>
      <c r="K475" s="141"/>
      <c r="L475" s="141"/>
      <c r="O475" s="619"/>
    </row>
    <row r="476" spans="1:15" s="382" customFormat="1" ht="12.75">
      <c r="A476" s="136"/>
      <c r="B476" s="137"/>
      <c r="C476" s="138"/>
      <c r="D476" s="138"/>
      <c r="E476" s="136"/>
      <c r="F476" s="419"/>
      <c r="G476" s="140"/>
      <c r="H476" s="140"/>
      <c r="I476" s="140"/>
      <c r="J476" s="140"/>
      <c r="K476" s="140"/>
      <c r="L476" s="140"/>
      <c r="O476" s="619"/>
    </row>
    <row r="477" spans="1:15" s="382" customFormat="1" ht="12.75">
      <c r="A477" s="138"/>
      <c r="B477" s="135"/>
      <c r="C477" s="136"/>
      <c r="D477" s="136"/>
      <c r="E477" s="138"/>
      <c r="F477" s="420"/>
      <c r="G477" s="141"/>
      <c r="H477" s="141"/>
      <c r="I477" s="141"/>
      <c r="J477" s="141"/>
      <c r="K477" s="141"/>
      <c r="L477" s="141"/>
      <c r="O477" s="619"/>
    </row>
    <row r="478" spans="1:15" s="382" customFormat="1" ht="12.75">
      <c r="A478" s="136"/>
      <c r="B478" s="137"/>
      <c r="C478" s="138"/>
      <c r="D478" s="138"/>
      <c r="E478" s="136"/>
      <c r="F478" s="419"/>
      <c r="G478" s="140"/>
      <c r="H478" s="140"/>
      <c r="I478" s="140"/>
      <c r="J478" s="140"/>
      <c r="K478" s="140"/>
      <c r="L478" s="140"/>
      <c r="O478" s="619"/>
    </row>
    <row r="479" spans="1:15" s="382" customFormat="1" ht="12.75">
      <c r="A479" s="138"/>
      <c r="B479" s="135"/>
      <c r="C479" s="136"/>
      <c r="D479" s="136"/>
      <c r="E479" s="138"/>
      <c r="F479" s="420"/>
      <c r="G479" s="141"/>
      <c r="H479" s="141"/>
      <c r="I479" s="141"/>
      <c r="J479" s="141"/>
      <c r="K479" s="141"/>
      <c r="L479" s="141"/>
      <c r="O479" s="619"/>
    </row>
    <row r="480" spans="1:15" s="382" customFormat="1" ht="12.75">
      <c r="A480" s="136"/>
      <c r="B480" s="137"/>
      <c r="C480" s="138"/>
      <c r="D480" s="138"/>
      <c r="E480" s="136"/>
      <c r="F480" s="419"/>
      <c r="G480" s="140"/>
      <c r="H480" s="140"/>
      <c r="I480" s="140"/>
      <c r="J480" s="140"/>
      <c r="K480" s="140"/>
      <c r="L480" s="140"/>
      <c r="O480" s="619"/>
    </row>
    <row r="481" spans="1:15" s="382" customFormat="1" ht="12.75">
      <c r="A481" s="138"/>
      <c r="B481" s="135"/>
      <c r="C481" s="136"/>
      <c r="D481" s="136"/>
      <c r="E481" s="138"/>
      <c r="F481" s="420"/>
      <c r="G481" s="141"/>
      <c r="H481" s="141"/>
      <c r="I481" s="141"/>
      <c r="J481" s="141"/>
      <c r="K481" s="141"/>
      <c r="L481" s="141"/>
      <c r="O481" s="619"/>
    </row>
    <row r="482" spans="1:15" s="382" customFormat="1" ht="12.75">
      <c r="A482" s="136"/>
      <c r="B482" s="137"/>
      <c r="C482" s="138"/>
      <c r="D482" s="138"/>
      <c r="E482" s="136"/>
      <c r="F482" s="419"/>
      <c r="G482" s="140"/>
      <c r="H482" s="140"/>
      <c r="I482" s="143"/>
      <c r="J482" s="140"/>
      <c r="K482" s="140"/>
      <c r="L482" s="140"/>
      <c r="O482" s="619"/>
    </row>
    <row r="483" spans="1:15" s="382" customFormat="1" ht="12.75">
      <c r="A483" s="138"/>
      <c r="B483" s="135"/>
      <c r="C483" s="136"/>
      <c r="D483" s="136"/>
      <c r="E483" s="138"/>
      <c r="F483" s="420"/>
      <c r="G483" s="141"/>
      <c r="H483" s="141"/>
      <c r="I483" s="142"/>
      <c r="J483" s="141"/>
      <c r="K483" s="141"/>
      <c r="L483" s="141"/>
      <c r="O483" s="619"/>
    </row>
    <row r="484" spans="1:15" s="382" customFormat="1" ht="12.75">
      <c r="A484" s="136"/>
      <c r="B484" s="137"/>
      <c r="C484" s="138"/>
      <c r="D484" s="138"/>
      <c r="E484" s="136"/>
      <c r="F484" s="419"/>
      <c r="G484" s="140"/>
      <c r="H484" s="143"/>
      <c r="I484" s="140"/>
      <c r="J484" s="140"/>
      <c r="K484" s="143"/>
      <c r="L484" s="140"/>
      <c r="O484" s="619"/>
    </row>
    <row r="485" spans="1:15" s="382" customFormat="1" ht="12.75">
      <c r="A485" s="138"/>
      <c r="B485" s="135"/>
      <c r="C485" s="136"/>
      <c r="D485" s="136"/>
      <c r="E485" s="138"/>
      <c r="F485" s="420"/>
      <c r="G485" s="141"/>
      <c r="H485" s="141"/>
      <c r="I485" s="142"/>
      <c r="J485" s="141"/>
      <c r="K485" s="141"/>
      <c r="L485" s="141"/>
      <c r="O485" s="619"/>
    </row>
    <row r="486" spans="1:15" s="382" customFormat="1" ht="12.75">
      <c r="A486" s="136"/>
      <c r="B486" s="137"/>
      <c r="C486" s="138"/>
      <c r="D486" s="138"/>
      <c r="E486" s="136"/>
      <c r="F486" s="419"/>
      <c r="G486" s="140"/>
      <c r="H486" s="140"/>
      <c r="I486" s="140"/>
      <c r="J486" s="140"/>
      <c r="K486" s="140"/>
      <c r="L486" s="140"/>
      <c r="O486" s="619"/>
    </row>
    <row r="487" spans="1:15" s="382" customFormat="1" ht="12.75">
      <c r="A487" s="138"/>
      <c r="B487" s="135"/>
      <c r="C487" s="136"/>
      <c r="D487" s="136"/>
      <c r="E487" s="138"/>
      <c r="F487" s="420"/>
      <c r="G487" s="141"/>
      <c r="H487" s="141"/>
      <c r="I487" s="141"/>
      <c r="J487" s="141"/>
      <c r="K487" s="141"/>
      <c r="L487" s="141"/>
      <c r="O487" s="619"/>
    </row>
    <row r="488" spans="1:15" s="382" customFormat="1" ht="12.75">
      <c r="A488" s="136"/>
      <c r="B488" s="137"/>
      <c r="C488" s="138"/>
      <c r="D488" s="138"/>
      <c r="E488" s="136"/>
      <c r="F488" s="419"/>
      <c r="G488" s="140"/>
      <c r="H488" s="140"/>
      <c r="I488" s="140"/>
      <c r="J488" s="140"/>
      <c r="K488" s="140"/>
      <c r="L488" s="140"/>
      <c r="O488" s="619"/>
    </row>
    <row r="489" spans="1:15" s="382" customFormat="1" ht="12.75">
      <c r="A489" s="138"/>
      <c r="B489" s="135"/>
      <c r="C489" s="136"/>
      <c r="D489" s="136"/>
      <c r="E489" s="138"/>
      <c r="F489" s="420"/>
      <c r="G489" s="141"/>
      <c r="H489" s="141"/>
      <c r="I489" s="141"/>
      <c r="J489" s="141"/>
      <c r="K489" s="141"/>
      <c r="L489" s="141"/>
      <c r="O489" s="619"/>
    </row>
    <row r="490" spans="1:15" s="382" customFormat="1" ht="12.75">
      <c r="A490" s="136"/>
      <c r="B490" s="137"/>
      <c r="C490" s="138"/>
      <c r="D490" s="138"/>
      <c r="E490" s="136"/>
      <c r="F490" s="419"/>
      <c r="G490" s="140"/>
      <c r="H490" s="140"/>
      <c r="I490" s="140"/>
      <c r="J490" s="140"/>
      <c r="K490" s="140"/>
      <c r="L490" s="140"/>
      <c r="O490" s="619"/>
    </row>
    <row r="491" spans="1:15" s="382" customFormat="1" ht="12.75">
      <c r="A491" s="138"/>
      <c r="B491" s="135"/>
      <c r="C491" s="136"/>
      <c r="D491" s="136"/>
      <c r="E491" s="138"/>
      <c r="F491" s="420"/>
      <c r="G491" s="141"/>
      <c r="H491" s="141"/>
      <c r="I491" s="141"/>
      <c r="J491" s="141"/>
      <c r="K491" s="141"/>
      <c r="L491" s="141"/>
      <c r="O491" s="619"/>
    </row>
    <row r="492" spans="1:15" s="382" customFormat="1" ht="12.75">
      <c r="A492" s="136"/>
      <c r="B492" s="137"/>
      <c r="C492" s="138"/>
      <c r="D492" s="138"/>
      <c r="E492" s="136"/>
      <c r="F492" s="419"/>
      <c r="G492" s="140"/>
      <c r="H492" s="140"/>
      <c r="I492" s="140"/>
      <c r="J492" s="140"/>
      <c r="K492" s="140"/>
      <c r="L492" s="140"/>
      <c r="O492" s="619"/>
    </row>
    <row r="493" spans="1:15" s="382" customFormat="1" ht="12.75">
      <c r="A493" s="138"/>
      <c r="B493" s="135"/>
      <c r="C493" s="136"/>
      <c r="D493" s="136"/>
      <c r="E493" s="138"/>
      <c r="F493" s="420"/>
      <c r="G493" s="141"/>
      <c r="H493" s="141"/>
      <c r="I493" s="142"/>
      <c r="J493" s="141"/>
      <c r="K493" s="141"/>
      <c r="L493" s="141"/>
      <c r="O493" s="619"/>
    </row>
    <row r="494" spans="1:15" s="382" customFormat="1" ht="12.75">
      <c r="A494" s="136"/>
      <c r="B494" s="137"/>
      <c r="C494" s="138"/>
      <c r="D494" s="138"/>
      <c r="E494" s="136"/>
      <c r="F494" s="419"/>
      <c r="G494" s="140"/>
      <c r="H494" s="140"/>
      <c r="I494" s="140"/>
      <c r="J494" s="140"/>
      <c r="K494" s="140"/>
      <c r="L494" s="140"/>
      <c r="O494" s="619"/>
    </row>
    <row r="495" spans="1:15" s="382" customFormat="1" ht="12.75">
      <c r="A495" s="138"/>
      <c r="B495" s="135"/>
      <c r="C495" s="136"/>
      <c r="D495" s="136"/>
      <c r="E495" s="138"/>
      <c r="F495" s="420"/>
      <c r="G495" s="141"/>
      <c r="H495" s="141"/>
      <c r="I495" s="141"/>
      <c r="J495" s="141"/>
      <c r="K495" s="141"/>
      <c r="L495" s="141"/>
      <c r="O495" s="619"/>
    </row>
    <row r="496" spans="1:15" s="382" customFormat="1" ht="12.75">
      <c r="A496" s="136"/>
      <c r="B496" s="137"/>
      <c r="C496" s="138"/>
      <c r="D496" s="138"/>
      <c r="E496" s="136"/>
      <c r="F496" s="419"/>
      <c r="G496" s="140"/>
      <c r="H496" s="140"/>
      <c r="I496" s="143"/>
      <c r="J496" s="140"/>
      <c r="K496" s="140"/>
      <c r="L496" s="140"/>
      <c r="O496" s="619"/>
    </row>
    <row r="497" spans="1:15" s="382" customFormat="1" ht="12.75">
      <c r="A497" s="138"/>
      <c r="B497" s="135"/>
      <c r="C497" s="136"/>
      <c r="D497" s="136"/>
      <c r="E497" s="138"/>
      <c r="F497" s="420"/>
      <c r="G497" s="141"/>
      <c r="H497" s="141"/>
      <c r="I497" s="141"/>
      <c r="J497" s="141"/>
      <c r="K497" s="141"/>
      <c r="L497" s="141"/>
      <c r="O497" s="619"/>
    </row>
    <row r="498" spans="1:15" s="382" customFormat="1" ht="12.75">
      <c r="A498" s="136"/>
      <c r="B498" s="137"/>
      <c r="C498" s="138"/>
      <c r="D498" s="138"/>
      <c r="E498" s="136"/>
      <c r="F498" s="419"/>
      <c r="G498" s="140"/>
      <c r="H498" s="140"/>
      <c r="I498" s="140"/>
      <c r="J498" s="140"/>
      <c r="K498" s="140"/>
      <c r="L498" s="140"/>
      <c r="O498" s="619"/>
    </row>
    <row r="499" spans="1:15" s="382" customFormat="1" ht="12.75">
      <c r="A499" s="138"/>
      <c r="B499" s="135"/>
      <c r="C499" s="136"/>
      <c r="D499" s="136"/>
      <c r="E499" s="138"/>
      <c r="F499" s="420"/>
      <c r="G499" s="141"/>
      <c r="H499" s="141"/>
      <c r="I499" s="141"/>
      <c r="J499" s="141"/>
      <c r="K499" s="141"/>
      <c r="L499" s="141"/>
      <c r="O499" s="619"/>
    </row>
    <row r="500" spans="1:15" s="382" customFormat="1" ht="12.75">
      <c r="A500" s="136"/>
      <c r="B500" s="137"/>
      <c r="C500" s="138"/>
      <c r="D500" s="138"/>
      <c r="E500" s="136"/>
      <c r="F500" s="419"/>
      <c r="G500" s="140"/>
      <c r="H500" s="140"/>
      <c r="I500" s="140"/>
      <c r="J500" s="140"/>
      <c r="K500" s="140"/>
      <c r="L500" s="140"/>
      <c r="O500" s="619"/>
    </row>
    <row r="501" spans="1:15" s="382" customFormat="1" ht="12.75">
      <c r="A501" s="138"/>
      <c r="B501" s="135"/>
      <c r="C501" s="136"/>
      <c r="D501" s="136"/>
      <c r="E501" s="138"/>
      <c r="F501" s="420"/>
      <c r="G501" s="141"/>
      <c r="H501" s="141"/>
      <c r="I501" s="141"/>
      <c r="J501" s="141"/>
      <c r="K501" s="141"/>
      <c r="L501" s="141"/>
      <c r="O501" s="619"/>
    </row>
    <row r="502" spans="1:15" s="382" customFormat="1" ht="12.75">
      <c r="A502" s="136"/>
      <c r="B502" s="139"/>
      <c r="C502" s="138"/>
      <c r="D502" s="138"/>
      <c r="E502" s="136"/>
      <c r="F502" s="419"/>
      <c r="G502" s="140"/>
      <c r="H502" s="140"/>
      <c r="I502" s="140"/>
      <c r="J502" s="140"/>
      <c r="K502" s="140"/>
      <c r="L502" s="140"/>
      <c r="O502" s="619"/>
    </row>
    <row r="503" spans="1:15" s="382" customFormat="1" ht="12.75">
      <c r="A503" s="138"/>
      <c r="B503" s="135"/>
      <c r="C503" s="136"/>
      <c r="D503" s="136"/>
      <c r="E503" s="138"/>
      <c r="F503" s="420"/>
      <c r="G503" s="141"/>
      <c r="H503" s="141"/>
      <c r="I503" s="141"/>
      <c r="J503" s="141"/>
      <c r="K503" s="141"/>
      <c r="L503" s="141"/>
      <c r="O503" s="619"/>
    </row>
    <row r="504" spans="1:15" s="382" customFormat="1" ht="12.75">
      <c r="A504" s="136"/>
      <c r="B504" s="137"/>
      <c r="C504" s="138"/>
      <c r="D504" s="138"/>
      <c r="E504" s="136"/>
      <c r="F504" s="419"/>
      <c r="G504" s="140"/>
      <c r="H504" s="140"/>
      <c r="I504" s="140"/>
      <c r="J504" s="140"/>
      <c r="K504" s="140"/>
      <c r="L504" s="140"/>
      <c r="O504" s="619"/>
    </row>
    <row r="505" spans="1:15" s="382" customFormat="1" ht="12.75">
      <c r="A505" s="138"/>
      <c r="B505" s="135"/>
      <c r="C505" s="136"/>
      <c r="D505" s="136"/>
      <c r="E505" s="138"/>
      <c r="F505" s="420"/>
      <c r="G505" s="141"/>
      <c r="H505" s="141"/>
      <c r="I505" s="141"/>
      <c r="J505" s="141"/>
      <c r="K505" s="141"/>
      <c r="L505" s="141"/>
      <c r="O505" s="619"/>
    </row>
    <row r="506" spans="1:15" s="382" customFormat="1" ht="12.75">
      <c r="A506" s="136"/>
      <c r="B506" s="137"/>
      <c r="C506" s="138"/>
      <c r="D506" s="138"/>
      <c r="E506" s="136"/>
      <c r="F506" s="419"/>
      <c r="G506" s="140"/>
      <c r="H506" s="140"/>
      <c r="I506" s="140"/>
      <c r="J506" s="140"/>
      <c r="K506" s="140"/>
      <c r="L506" s="140"/>
      <c r="O506" s="619"/>
    </row>
    <row r="507" spans="1:15" s="382" customFormat="1" ht="12.75">
      <c r="A507" s="138"/>
      <c r="B507" s="135"/>
      <c r="C507" s="136"/>
      <c r="D507" s="136"/>
      <c r="E507" s="138"/>
      <c r="F507" s="420"/>
      <c r="G507" s="141"/>
      <c r="H507" s="141"/>
      <c r="I507" s="142"/>
      <c r="J507" s="141"/>
      <c r="K507" s="141"/>
      <c r="L507" s="141"/>
      <c r="O507" s="619"/>
    </row>
    <row r="508" spans="1:15" s="382" customFormat="1" ht="12.75">
      <c r="A508" s="136"/>
      <c r="B508" s="137"/>
      <c r="C508" s="138"/>
      <c r="D508" s="138"/>
      <c r="E508" s="136"/>
      <c r="F508" s="419"/>
      <c r="G508" s="140"/>
      <c r="H508" s="140"/>
      <c r="I508" s="140"/>
      <c r="J508" s="140"/>
      <c r="K508" s="140"/>
      <c r="L508" s="140"/>
      <c r="O508" s="619"/>
    </row>
    <row r="509" spans="1:15" s="382" customFormat="1" ht="12.75">
      <c r="A509" s="138"/>
      <c r="B509" s="135"/>
      <c r="C509" s="136"/>
      <c r="D509" s="136"/>
      <c r="E509" s="138"/>
      <c r="F509" s="420"/>
      <c r="G509" s="141"/>
      <c r="H509" s="141"/>
      <c r="I509" s="141"/>
      <c r="J509" s="141"/>
      <c r="K509" s="141"/>
      <c r="L509" s="141"/>
      <c r="O509" s="619"/>
    </row>
    <row r="510" spans="1:15" s="382" customFormat="1" ht="12.75">
      <c r="A510" s="136"/>
      <c r="B510" s="137"/>
      <c r="C510" s="138"/>
      <c r="D510" s="138"/>
      <c r="E510" s="136"/>
      <c r="F510" s="419"/>
      <c r="G510" s="140"/>
      <c r="H510" s="140"/>
      <c r="I510" s="140"/>
      <c r="J510" s="140"/>
      <c r="K510" s="140"/>
      <c r="L510" s="140"/>
      <c r="O510" s="619"/>
    </row>
    <row r="511" spans="1:15" s="382" customFormat="1" ht="12.75">
      <c r="A511" s="138"/>
      <c r="B511" s="135"/>
      <c r="C511" s="136"/>
      <c r="D511" s="136"/>
      <c r="E511" s="138"/>
      <c r="F511" s="420"/>
      <c r="G511" s="141"/>
      <c r="H511" s="141"/>
      <c r="I511" s="142"/>
      <c r="J511" s="141"/>
      <c r="K511" s="141"/>
      <c r="L511" s="141"/>
      <c r="O511" s="619"/>
    </row>
    <row r="512" spans="1:15" s="382" customFormat="1" ht="12.75">
      <c r="A512" s="136"/>
      <c r="B512" s="137"/>
      <c r="C512" s="138"/>
      <c r="D512" s="138"/>
      <c r="E512" s="136"/>
      <c r="F512" s="419"/>
      <c r="G512" s="140"/>
      <c r="H512" s="140"/>
      <c r="I512" s="140"/>
      <c r="J512" s="140"/>
      <c r="K512" s="140"/>
      <c r="L512" s="140"/>
      <c r="O512" s="619"/>
    </row>
    <row r="513" spans="1:15" s="382" customFormat="1" ht="12.75">
      <c r="A513" s="138"/>
      <c r="B513" s="135"/>
      <c r="C513" s="136"/>
      <c r="D513" s="136"/>
      <c r="E513" s="138"/>
      <c r="F513" s="420"/>
      <c r="G513" s="141"/>
      <c r="H513" s="141"/>
      <c r="I513" s="141"/>
      <c r="J513" s="141"/>
      <c r="K513" s="141"/>
      <c r="L513" s="141"/>
      <c r="O513" s="619"/>
    </row>
    <row r="514" spans="1:15" s="382" customFormat="1" ht="12.75">
      <c r="A514" s="136"/>
      <c r="B514" s="137"/>
      <c r="C514" s="138"/>
      <c r="D514" s="138"/>
      <c r="E514" s="136"/>
      <c r="F514" s="419"/>
      <c r="G514" s="140"/>
      <c r="H514" s="140"/>
      <c r="I514" s="143"/>
      <c r="J514" s="140"/>
      <c r="K514" s="140"/>
      <c r="L514" s="140"/>
      <c r="O514" s="619"/>
    </row>
    <row r="515" spans="1:15" s="382" customFormat="1" ht="12.75">
      <c r="A515" s="138"/>
      <c r="B515" s="135"/>
      <c r="C515" s="136"/>
      <c r="D515" s="136"/>
      <c r="E515" s="138"/>
      <c r="F515" s="420"/>
      <c r="G515" s="141"/>
      <c r="H515" s="141"/>
      <c r="I515" s="141"/>
      <c r="J515" s="141"/>
      <c r="K515" s="141"/>
      <c r="L515" s="141"/>
      <c r="O515" s="619"/>
    </row>
    <row r="516" spans="1:15" s="382" customFormat="1" ht="12.75">
      <c r="A516" s="136"/>
      <c r="B516" s="137"/>
      <c r="C516" s="138"/>
      <c r="D516" s="138"/>
      <c r="E516" s="136"/>
      <c r="F516" s="419"/>
      <c r="G516" s="140"/>
      <c r="H516" s="140"/>
      <c r="I516" s="140"/>
      <c r="J516" s="140"/>
      <c r="K516" s="140"/>
      <c r="L516" s="140"/>
      <c r="O516" s="619"/>
    </row>
    <row r="517" spans="1:15" s="382" customFormat="1" ht="12.75">
      <c r="A517" s="138"/>
      <c r="B517" s="135"/>
      <c r="C517" s="136"/>
      <c r="D517" s="136"/>
      <c r="E517" s="138"/>
      <c r="F517" s="420"/>
      <c r="G517" s="141"/>
      <c r="H517" s="141"/>
      <c r="I517" s="141"/>
      <c r="J517" s="141"/>
      <c r="K517" s="141"/>
      <c r="L517" s="141"/>
      <c r="O517" s="619"/>
    </row>
    <row r="518" spans="1:15" s="382" customFormat="1" ht="12.75">
      <c r="A518" s="136"/>
      <c r="B518" s="137"/>
      <c r="C518" s="138"/>
      <c r="D518" s="138"/>
      <c r="E518" s="136"/>
      <c r="F518" s="419"/>
      <c r="G518" s="140"/>
      <c r="H518" s="140"/>
      <c r="I518" s="140"/>
      <c r="J518" s="140"/>
      <c r="K518" s="140"/>
      <c r="L518" s="140"/>
      <c r="O518" s="619"/>
    </row>
    <row r="519" spans="1:15" s="382" customFormat="1" ht="12.75">
      <c r="A519" s="138"/>
      <c r="B519" s="135"/>
      <c r="C519" s="136"/>
      <c r="D519" s="136"/>
      <c r="E519" s="138"/>
      <c r="F519" s="420"/>
      <c r="G519" s="141"/>
      <c r="H519" s="141"/>
      <c r="I519" s="142"/>
      <c r="J519" s="141"/>
      <c r="K519" s="141"/>
      <c r="L519" s="141"/>
      <c r="O519" s="619"/>
    </row>
    <row r="520" spans="1:15" s="382" customFormat="1" ht="12.75">
      <c r="A520" s="136"/>
      <c r="B520" s="137"/>
      <c r="C520" s="138"/>
      <c r="D520" s="138"/>
      <c r="E520" s="136"/>
      <c r="F520" s="419"/>
      <c r="G520" s="140"/>
      <c r="H520" s="140"/>
      <c r="I520" s="140"/>
      <c r="J520" s="140"/>
      <c r="K520" s="140"/>
      <c r="L520" s="140"/>
      <c r="O520" s="619"/>
    </row>
    <row r="521" spans="1:15" s="382" customFormat="1" ht="12.75">
      <c r="A521" s="138"/>
      <c r="B521" s="135"/>
      <c r="C521" s="136"/>
      <c r="D521" s="136"/>
      <c r="E521" s="138"/>
      <c r="F521" s="420"/>
      <c r="G521" s="141"/>
      <c r="H521" s="141"/>
      <c r="I521" s="141"/>
      <c r="J521" s="141"/>
      <c r="K521" s="141"/>
      <c r="L521" s="141"/>
      <c r="O521" s="619"/>
    </row>
    <row r="522" spans="1:15" s="382" customFormat="1" ht="12.75">
      <c r="A522" s="136"/>
      <c r="B522" s="137"/>
      <c r="C522" s="138"/>
      <c r="D522" s="138"/>
      <c r="E522" s="136"/>
      <c r="F522" s="419"/>
      <c r="G522" s="140"/>
      <c r="H522" s="140"/>
      <c r="I522" s="140"/>
      <c r="J522" s="140"/>
      <c r="K522" s="140"/>
      <c r="L522" s="140"/>
      <c r="O522" s="619"/>
    </row>
    <row r="523" spans="1:15" s="382" customFormat="1" ht="12.75">
      <c r="A523" s="138"/>
      <c r="B523" s="135"/>
      <c r="C523" s="136"/>
      <c r="D523" s="136"/>
      <c r="E523" s="138"/>
      <c r="F523" s="420"/>
      <c r="G523" s="141"/>
      <c r="H523" s="141"/>
      <c r="I523" s="142"/>
      <c r="J523" s="141"/>
      <c r="K523" s="141"/>
      <c r="L523" s="141"/>
      <c r="O523" s="619"/>
    </row>
    <row r="524" spans="1:15" s="382" customFormat="1" ht="12.75">
      <c r="A524" s="136"/>
      <c r="B524" s="139"/>
      <c r="C524" s="138"/>
      <c r="D524" s="138"/>
      <c r="E524" s="136"/>
      <c r="F524" s="419"/>
      <c r="G524" s="140"/>
      <c r="H524" s="140"/>
      <c r="I524" s="140"/>
      <c r="J524" s="140"/>
      <c r="K524" s="140"/>
      <c r="L524" s="140"/>
      <c r="O524" s="619"/>
    </row>
    <row r="525" spans="1:15" s="382" customFormat="1" ht="12.75">
      <c r="A525" s="138"/>
      <c r="B525" s="135"/>
      <c r="C525" s="136"/>
      <c r="D525" s="136"/>
      <c r="E525" s="138"/>
      <c r="F525" s="420"/>
      <c r="G525" s="141"/>
      <c r="H525" s="141"/>
      <c r="I525" s="141"/>
      <c r="J525" s="141"/>
      <c r="K525" s="141"/>
      <c r="L525" s="141"/>
      <c r="O525" s="619"/>
    </row>
    <row r="526" spans="1:15" s="382" customFormat="1" ht="12.75">
      <c r="A526" s="136"/>
      <c r="B526" s="137"/>
      <c r="C526" s="138"/>
      <c r="D526" s="138"/>
      <c r="E526" s="136"/>
      <c r="F526" s="419"/>
      <c r="G526" s="140"/>
      <c r="H526" s="140"/>
      <c r="I526" s="140"/>
      <c r="J526" s="140"/>
      <c r="K526" s="140"/>
      <c r="L526" s="140"/>
      <c r="O526" s="619"/>
    </row>
    <row r="527" spans="1:15" s="382" customFormat="1" ht="12.75">
      <c r="A527" s="138"/>
      <c r="B527" s="135"/>
      <c r="C527" s="136"/>
      <c r="D527" s="136"/>
      <c r="E527" s="138"/>
      <c r="F527" s="420"/>
      <c r="G527" s="141"/>
      <c r="H527" s="141"/>
      <c r="I527" s="141"/>
      <c r="J527" s="141"/>
      <c r="K527" s="141"/>
      <c r="L527" s="141"/>
      <c r="O527" s="619"/>
    </row>
    <row r="528" spans="1:15" s="382" customFormat="1" ht="12.75">
      <c r="A528" s="136"/>
      <c r="B528" s="137"/>
      <c r="C528" s="138"/>
      <c r="D528" s="138"/>
      <c r="E528" s="136"/>
      <c r="F528" s="419"/>
      <c r="G528" s="140"/>
      <c r="H528" s="140"/>
      <c r="I528" s="140"/>
      <c r="J528" s="140"/>
      <c r="K528" s="140"/>
      <c r="L528" s="140"/>
      <c r="O528" s="619"/>
    </row>
    <row r="529" spans="1:15" s="382" customFormat="1" ht="12.75">
      <c r="A529" s="138"/>
      <c r="B529" s="135"/>
      <c r="C529" s="136"/>
      <c r="D529" s="136"/>
      <c r="E529" s="138"/>
      <c r="F529" s="420"/>
      <c r="G529" s="141"/>
      <c r="H529" s="141"/>
      <c r="I529" s="142"/>
      <c r="J529" s="141"/>
      <c r="K529" s="141"/>
      <c r="L529" s="141"/>
      <c r="O529" s="619"/>
    </row>
    <row r="530" spans="1:15" s="382" customFormat="1" ht="12.75">
      <c r="A530" s="136"/>
      <c r="B530" s="137"/>
      <c r="C530" s="138"/>
      <c r="D530" s="138"/>
      <c r="E530" s="136"/>
      <c r="F530" s="419"/>
      <c r="G530" s="140"/>
      <c r="H530" s="140"/>
      <c r="I530" s="140"/>
      <c r="J530" s="140"/>
      <c r="K530" s="140"/>
      <c r="L530" s="140"/>
      <c r="O530" s="619"/>
    </row>
    <row r="531" spans="1:15" s="382" customFormat="1" ht="12.75">
      <c r="A531" s="138"/>
      <c r="B531" s="135"/>
      <c r="C531" s="136"/>
      <c r="D531" s="136"/>
      <c r="E531" s="138"/>
      <c r="F531" s="420"/>
      <c r="G531" s="141"/>
      <c r="H531" s="141"/>
      <c r="I531" s="141"/>
      <c r="J531" s="141"/>
      <c r="K531" s="141"/>
      <c r="L531" s="141"/>
      <c r="O531" s="619"/>
    </row>
    <row r="532" spans="1:15" s="382" customFormat="1" ht="12.75">
      <c r="A532" s="136"/>
      <c r="B532" s="137"/>
      <c r="C532" s="138"/>
      <c r="D532" s="138"/>
      <c r="E532" s="136"/>
      <c r="F532" s="419"/>
      <c r="G532" s="140"/>
      <c r="H532" s="140"/>
      <c r="I532" s="140"/>
      <c r="J532" s="140"/>
      <c r="K532" s="140"/>
      <c r="L532" s="140"/>
      <c r="O532" s="619"/>
    </row>
    <row r="533" spans="1:15" s="382" customFormat="1" ht="12.75">
      <c r="A533" s="138"/>
      <c r="B533" s="135"/>
      <c r="C533" s="136"/>
      <c r="D533" s="136"/>
      <c r="E533" s="138"/>
      <c r="F533" s="420"/>
      <c r="G533" s="141"/>
      <c r="H533" s="141"/>
      <c r="I533" s="141"/>
      <c r="J533" s="141"/>
      <c r="K533" s="141"/>
      <c r="L533" s="141"/>
      <c r="O533" s="619"/>
    </row>
    <row r="534" spans="1:15" s="382" customFormat="1" ht="12.75">
      <c r="A534" s="136"/>
      <c r="B534" s="137"/>
      <c r="C534" s="138"/>
      <c r="D534" s="138"/>
      <c r="E534" s="136"/>
      <c r="F534" s="419"/>
      <c r="G534" s="140"/>
      <c r="H534" s="140"/>
      <c r="I534" s="143"/>
      <c r="J534" s="140"/>
      <c r="K534" s="140"/>
      <c r="L534" s="140"/>
      <c r="O534" s="619"/>
    </row>
    <row r="535" spans="1:15" s="382" customFormat="1" ht="12.75">
      <c r="A535" s="138"/>
      <c r="B535" s="135"/>
      <c r="C535" s="136"/>
      <c r="D535" s="136"/>
      <c r="E535" s="138"/>
      <c r="F535" s="420"/>
      <c r="G535" s="141"/>
      <c r="H535" s="141"/>
      <c r="I535" s="141"/>
      <c r="J535" s="141"/>
      <c r="K535" s="141"/>
      <c r="L535" s="141"/>
      <c r="O535" s="619"/>
    </row>
    <row r="536" spans="1:15" s="382" customFormat="1" ht="12.75">
      <c r="A536" s="136"/>
      <c r="B536" s="137"/>
      <c r="C536" s="138"/>
      <c r="D536" s="138"/>
      <c r="E536" s="136"/>
      <c r="F536" s="419"/>
      <c r="G536" s="140"/>
      <c r="H536" s="140"/>
      <c r="I536" s="140"/>
      <c r="J536" s="140"/>
      <c r="K536" s="140"/>
      <c r="L536" s="140"/>
      <c r="O536" s="619"/>
    </row>
    <row r="537" spans="1:15" s="382" customFormat="1" ht="12.75">
      <c r="A537" s="138"/>
      <c r="B537" s="135"/>
      <c r="C537" s="136"/>
      <c r="D537" s="136"/>
      <c r="E537" s="138"/>
      <c r="F537" s="420"/>
      <c r="G537" s="141"/>
      <c r="H537" s="141"/>
      <c r="I537" s="141"/>
      <c r="J537" s="141"/>
      <c r="K537" s="141"/>
      <c r="L537" s="141"/>
      <c r="O537" s="619"/>
    </row>
    <row r="538" spans="1:15" s="382" customFormat="1" ht="12.75">
      <c r="A538" s="136"/>
      <c r="B538" s="137"/>
      <c r="C538" s="138"/>
      <c r="D538" s="138"/>
      <c r="E538" s="136"/>
      <c r="F538" s="419"/>
      <c r="G538" s="140"/>
      <c r="H538" s="140"/>
      <c r="I538" s="143"/>
      <c r="J538" s="140"/>
      <c r="K538" s="140"/>
      <c r="L538" s="140"/>
      <c r="O538" s="619"/>
    </row>
    <row r="539" spans="1:15" s="382" customFormat="1" ht="12.75">
      <c r="A539" s="138"/>
      <c r="B539" s="135"/>
      <c r="C539" s="136"/>
      <c r="D539" s="136"/>
      <c r="E539" s="138"/>
      <c r="F539" s="420"/>
      <c r="G539" s="141"/>
      <c r="H539" s="141"/>
      <c r="I539" s="141"/>
      <c r="J539" s="141"/>
      <c r="K539" s="141"/>
      <c r="L539" s="141"/>
      <c r="O539" s="619"/>
    </row>
    <row r="540" spans="1:15" s="382" customFormat="1" ht="12.75">
      <c r="A540" s="136"/>
      <c r="B540" s="137"/>
      <c r="C540" s="138"/>
      <c r="D540" s="138"/>
      <c r="E540" s="136"/>
      <c r="F540" s="419"/>
      <c r="G540" s="140"/>
      <c r="H540" s="140"/>
      <c r="I540" s="140"/>
      <c r="J540" s="140"/>
      <c r="K540" s="140"/>
      <c r="L540" s="140"/>
      <c r="O540" s="619"/>
    </row>
    <row r="541" spans="1:15" s="382" customFormat="1" ht="12.75">
      <c r="A541" s="138"/>
      <c r="B541" s="135"/>
      <c r="C541" s="136"/>
      <c r="D541" s="136"/>
      <c r="E541" s="138"/>
      <c r="F541" s="420"/>
      <c r="G541" s="141"/>
      <c r="H541" s="141"/>
      <c r="I541" s="141"/>
      <c r="J541" s="141"/>
      <c r="K541" s="141"/>
      <c r="L541" s="141"/>
      <c r="O541" s="619"/>
    </row>
    <row r="542" spans="1:15" s="382" customFormat="1" ht="12.75">
      <c r="A542" s="136"/>
      <c r="B542" s="137"/>
      <c r="C542" s="138"/>
      <c r="D542" s="138"/>
      <c r="E542" s="136"/>
      <c r="F542" s="419"/>
      <c r="G542" s="140"/>
      <c r="H542" s="140"/>
      <c r="I542" s="140"/>
      <c r="J542" s="140"/>
      <c r="K542" s="140"/>
      <c r="L542" s="140"/>
      <c r="O542" s="619"/>
    </row>
    <row r="543" spans="1:15" s="382" customFormat="1" ht="12.75">
      <c r="A543" s="138"/>
      <c r="B543" s="421"/>
      <c r="C543" s="136"/>
      <c r="D543" s="136"/>
      <c r="E543" s="138"/>
      <c r="F543" s="420"/>
      <c r="G543" s="141"/>
      <c r="H543" s="141"/>
      <c r="I543" s="141"/>
      <c r="J543" s="141"/>
      <c r="K543" s="141"/>
      <c r="L543" s="141"/>
      <c r="O543" s="619"/>
    </row>
    <row r="544" spans="1:15" s="382" customFormat="1" ht="12.75">
      <c r="A544" s="136"/>
      <c r="B544" s="137"/>
      <c r="C544" s="138"/>
      <c r="D544" s="138"/>
      <c r="E544" s="136"/>
      <c r="F544" s="419"/>
      <c r="G544" s="140"/>
      <c r="H544" s="140"/>
      <c r="I544" s="140"/>
      <c r="J544" s="140"/>
      <c r="K544" s="140"/>
      <c r="L544" s="140"/>
      <c r="O544" s="619"/>
    </row>
    <row r="545" spans="1:15" s="382" customFormat="1" ht="12.75">
      <c r="A545" s="138"/>
      <c r="B545" s="135"/>
      <c r="C545" s="136"/>
      <c r="D545" s="136"/>
      <c r="E545" s="138"/>
      <c r="F545" s="420"/>
      <c r="G545" s="141"/>
      <c r="H545" s="141"/>
      <c r="I545" s="142"/>
      <c r="J545" s="141"/>
      <c r="K545" s="141"/>
      <c r="L545" s="141"/>
      <c r="O545" s="619"/>
    </row>
    <row r="546" spans="1:15" s="382" customFormat="1" ht="12.75">
      <c r="A546" s="136"/>
      <c r="B546" s="137"/>
      <c r="C546" s="138"/>
      <c r="D546" s="138"/>
      <c r="E546" s="136"/>
      <c r="F546" s="419"/>
      <c r="G546" s="140"/>
      <c r="H546" s="140"/>
      <c r="I546" s="140"/>
      <c r="J546" s="140"/>
      <c r="K546" s="140"/>
      <c r="L546" s="140"/>
      <c r="O546" s="619"/>
    </row>
    <row r="547" spans="1:15" s="382" customFormat="1" ht="12.75">
      <c r="A547" s="138"/>
      <c r="B547" s="135"/>
      <c r="C547" s="136"/>
      <c r="D547" s="136"/>
      <c r="E547" s="138"/>
      <c r="F547" s="420"/>
      <c r="G547" s="141"/>
      <c r="H547" s="141"/>
      <c r="I547" s="141"/>
      <c r="J547" s="141"/>
      <c r="K547" s="141"/>
      <c r="L547" s="141"/>
      <c r="O547" s="619"/>
    </row>
    <row r="548" spans="1:15" s="382" customFormat="1" ht="12.75">
      <c r="A548" s="136"/>
      <c r="B548" s="137"/>
      <c r="C548" s="138"/>
      <c r="D548" s="138"/>
      <c r="E548" s="136"/>
      <c r="F548" s="419"/>
      <c r="G548" s="140"/>
      <c r="H548" s="140"/>
      <c r="I548" s="140"/>
      <c r="J548" s="140"/>
      <c r="K548" s="140"/>
      <c r="L548" s="140"/>
      <c r="O548" s="619"/>
    </row>
    <row r="549" spans="1:15" s="382" customFormat="1" ht="12.75">
      <c r="A549" s="138"/>
      <c r="B549" s="135"/>
      <c r="C549" s="136"/>
      <c r="D549" s="136"/>
      <c r="E549" s="138"/>
      <c r="F549" s="420"/>
      <c r="G549" s="141"/>
      <c r="H549" s="141"/>
      <c r="I549" s="142"/>
      <c r="J549" s="141"/>
      <c r="K549" s="141"/>
      <c r="L549" s="141"/>
      <c r="O549" s="619"/>
    </row>
    <row r="550" spans="1:15" s="382" customFormat="1" ht="12.75">
      <c r="A550" s="136"/>
      <c r="B550" s="137"/>
      <c r="C550" s="138"/>
      <c r="D550" s="138"/>
      <c r="E550" s="136"/>
      <c r="F550" s="419"/>
      <c r="G550" s="140"/>
      <c r="H550" s="140"/>
      <c r="I550" s="140"/>
      <c r="J550" s="140"/>
      <c r="K550" s="140"/>
      <c r="L550" s="140"/>
      <c r="O550" s="619"/>
    </row>
    <row r="551" spans="1:15" s="382" customFormat="1" ht="12.75">
      <c r="A551" s="138"/>
      <c r="B551" s="135"/>
      <c r="C551" s="136"/>
      <c r="D551" s="136"/>
      <c r="E551" s="138"/>
      <c r="F551" s="420"/>
      <c r="G551" s="141"/>
      <c r="H551" s="141"/>
      <c r="I551" s="142"/>
      <c r="J551" s="141"/>
      <c r="K551" s="141"/>
      <c r="L551" s="141"/>
      <c r="O551" s="619"/>
    </row>
    <row r="552" spans="1:15" s="382" customFormat="1" ht="12.75">
      <c r="A552" s="136"/>
      <c r="B552" s="137"/>
      <c r="C552" s="138"/>
      <c r="D552" s="138"/>
      <c r="E552" s="136"/>
      <c r="F552" s="419"/>
      <c r="G552" s="140"/>
      <c r="H552" s="140"/>
      <c r="I552" s="143"/>
      <c r="J552" s="140"/>
      <c r="K552" s="140"/>
      <c r="L552" s="140"/>
      <c r="O552" s="619"/>
    </row>
    <row r="553" spans="1:15" s="382" customFormat="1" ht="12.75">
      <c r="A553" s="138"/>
      <c r="B553" s="135"/>
      <c r="C553" s="136"/>
      <c r="D553" s="136"/>
      <c r="E553" s="138"/>
      <c r="F553" s="420"/>
      <c r="G553" s="141"/>
      <c r="H553" s="141"/>
      <c r="I553" s="141"/>
      <c r="J553" s="141"/>
      <c r="K553" s="141"/>
      <c r="L553" s="141"/>
      <c r="O553" s="619"/>
    </row>
    <row r="554" spans="1:15" s="382" customFormat="1" ht="12.75">
      <c r="A554" s="136"/>
      <c r="B554" s="137"/>
      <c r="C554" s="138"/>
      <c r="D554" s="138"/>
      <c r="E554" s="136"/>
      <c r="F554" s="419"/>
      <c r="G554" s="140"/>
      <c r="H554" s="140"/>
      <c r="I554" s="143"/>
      <c r="J554" s="140"/>
      <c r="K554" s="140"/>
      <c r="L554" s="140"/>
      <c r="O554" s="619"/>
    </row>
    <row r="555" spans="1:15" s="382" customFormat="1" ht="12.75">
      <c r="A555" s="138"/>
      <c r="B555" s="421"/>
      <c r="C555" s="136"/>
      <c r="D555" s="136"/>
      <c r="E555" s="138"/>
      <c r="F555" s="420"/>
      <c r="G555" s="141"/>
      <c r="H555" s="141"/>
      <c r="I555" s="141"/>
      <c r="J555" s="141"/>
      <c r="K555" s="141"/>
      <c r="L555" s="141"/>
      <c r="O555" s="619"/>
    </row>
    <row r="556" spans="1:15" s="382" customFormat="1" ht="12.75">
      <c r="A556" s="136"/>
      <c r="B556" s="137"/>
      <c r="C556" s="138"/>
      <c r="D556" s="138"/>
      <c r="E556" s="136"/>
      <c r="F556" s="419"/>
      <c r="G556" s="140"/>
      <c r="H556" s="140"/>
      <c r="I556" s="140"/>
      <c r="J556" s="140"/>
      <c r="K556" s="140"/>
      <c r="L556" s="140"/>
      <c r="O556" s="619"/>
    </row>
    <row r="557" spans="1:15" s="382" customFormat="1" ht="12.75">
      <c r="A557" s="138"/>
      <c r="B557" s="135"/>
      <c r="C557" s="136"/>
      <c r="D557" s="136"/>
      <c r="E557" s="138"/>
      <c r="F557" s="420"/>
      <c r="G557" s="141"/>
      <c r="H557" s="141"/>
      <c r="I557" s="141"/>
      <c r="J557" s="141"/>
      <c r="K557" s="141"/>
      <c r="L557" s="141"/>
      <c r="O557" s="619"/>
    </row>
    <row r="558" spans="1:15" s="382" customFormat="1" ht="12.75">
      <c r="A558" s="136"/>
      <c r="B558" s="137"/>
      <c r="C558" s="138"/>
      <c r="D558" s="138"/>
      <c r="E558" s="136"/>
      <c r="F558" s="419"/>
      <c r="G558" s="140"/>
      <c r="H558" s="140"/>
      <c r="I558" s="140"/>
      <c r="J558" s="140"/>
      <c r="K558" s="140"/>
      <c r="L558" s="140"/>
      <c r="O558" s="619"/>
    </row>
    <row r="559" spans="1:15" s="382" customFormat="1" ht="12.75">
      <c r="A559" s="138"/>
      <c r="B559" s="135"/>
      <c r="C559" s="136"/>
      <c r="D559" s="136"/>
      <c r="E559" s="138"/>
      <c r="F559" s="420"/>
      <c r="G559" s="141"/>
      <c r="H559" s="141"/>
      <c r="I559" s="142"/>
      <c r="J559" s="141"/>
      <c r="K559" s="141"/>
      <c r="L559" s="141"/>
      <c r="O559" s="619"/>
    </row>
    <row r="560" spans="1:15" s="382" customFormat="1" ht="12.75">
      <c r="A560" s="136"/>
      <c r="B560" s="137"/>
      <c r="C560" s="138"/>
      <c r="D560" s="138"/>
      <c r="E560" s="136"/>
      <c r="F560" s="419"/>
      <c r="G560" s="140"/>
      <c r="H560" s="140"/>
      <c r="I560" s="140"/>
      <c r="J560" s="140"/>
      <c r="K560" s="140"/>
      <c r="L560" s="140"/>
      <c r="O560" s="619"/>
    </row>
    <row r="561" spans="1:15" s="382" customFormat="1" ht="12.75">
      <c r="A561" s="138"/>
      <c r="B561" s="135"/>
      <c r="C561" s="136"/>
      <c r="D561" s="136"/>
      <c r="E561" s="138"/>
      <c r="F561" s="420"/>
      <c r="G561" s="141"/>
      <c r="H561" s="141"/>
      <c r="I561" s="142"/>
      <c r="J561" s="141"/>
      <c r="K561" s="141"/>
      <c r="L561" s="141"/>
      <c r="O561" s="619"/>
    </row>
    <row r="562" spans="1:15" s="382" customFormat="1" ht="12.75">
      <c r="A562" s="136"/>
      <c r="B562" s="137"/>
      <c r="C562" s="138"/>
      <c r="D562" s="138"/>
      <c r="E562" s="136"/>
      <c r="F562" s="419"/>
      <c r="G562" s="140"/>
      <c r="H562" s="140"/>
      <c r="I562" s="140"/>
      <c r="J562" s="140"/>
      <c r="K562" s="140"/>
      <c r="L562" s="140"/>
      <c r="O562" s="619"/>
    </row>
    <row r="563" spans="1:15" s="382" customFormat="1" ht="12.75">
      <c r="A563" s="138"/>
      <c r="B563" s="135"/>
      <c r="C563" s="136"/>
      <c r="D563" s="136"/>
      <c r="E563" s="138"/>
      <c r="F563" s="420"/>
      <c r="G563" s="141"/>
      <c r="H563" s="141"/>
      <c r="I563" s="141"/>
      <c r="J563" s="141"/>
      <c r="K563" s="141"/>
      <c r="L563" s="141"/>
      <c r="O563" s="619"/>
    </row>
    <row r="564" spans="1:15" s="382" customFormat="1" ht="12.75">
      <c r="A564" s="136"/>
      <c r="B564" s="137"/>
      <c r="C564" s="138"/>
      <c r="D564" s="138"/>
      <c r="E564" s="136"/>
      <c r="F564" s="419"/>
      <c r="G564" s="140"/>
      <c r="H564" s="140"/>
      <c r="I564" s="140"/>
      <c r="J564" s="140"/>
      <c r="K564" s="140"/>
      <c r="L564" s="140"/>
      <c r="O564" s="619"/>
    </row>
    <row r="565" spans="1:15" s="382" customFormat="1" ht="12.75">
      <c r="A565" s="138"/>
      <c r="B565" s="135"/>
      <c r="C565" s="136"/>
      <c r="D565" s="136"/>
      <c r="E565" s="138"/>
      <c r="F565" s="420"/>
      <c r="G565" s="141"/>
      <c r="H565" s="141"/>
      <c r="I565" s="141"/>
      <c r="J565" s="141"/>
      <c r="K565" s="141"/>
      <c r="L565" s="141"/>
      <c r="O565" s="619"/>
    </row>
    <row r="566" spans="1:15" s="382" customFormat="1" ht="12.75">
      <c r="A566" s="136"/>
      <c r="B566" s="137"/>
      <c r="C566" s="138"/>
      <c r="D566" s="138"/>
      <c r="E566" s="136"/>
      <c r="F566" s="419"/>
      <c r="G566" s="140"/>
      <c r="H566" s="140"/>
      <c r="I566" s="143"/>
      <c r="J566" s="140"/>
      <c r="K566" s="140"/>
      <c r="L566" s="140"/>
      <c r="O566" s="619"/>
    </row>
    <row r="567" spans="1:15" s="382" customFormat="1" ht="12.75">
      <c r="A567" s="138"/>
      <c r="B567" s="135"/>
      <c r="C567" s="136"/>
      <c r="D567" s="136"/>
      <c r="E567" s="138"/>
      <c r="F567" s="420"/>
      <c r="G567" s="141"/>
      <c r="H567" s="141"/>
      <c r="I567" s="142"/>
      <c r="J567" s="141"/>
      <c r="K567" s="141"/>
      <c r="L567" s="141"/>
      <c r="O567" s="619"/>
    </row>
    <row r="568" spans="1:15" s="382" customFormat="1" ht="12.75">
      <c r="A568" s="136"/>
      <c r="B568" s="137"/>
      <c r="C568" s="138"/>
      <c r="D568" s="138"/>
      <c r="E568" s="136"/>
      <c r="F568" s="419"/>
      <c r="G568" s="140"/>
      <c r="H568" s="140"/>
      <c r="I568" s="140"/>
      <c r="J568" s="140"/>
      <c r="K568" s="140"/>
      <c r="L568" s="140"/>
      <c r="O568" s="619"/>
    </row>
    <row r="569" spans="1:15" s="382" customFormat="1" ht="12.75">
      <c r="A569" s="138"/>
      <c r="B569" s="135"/>
      <c r="C569" s="136"/>
      <c r="D569" s="136"/>
      <c r="E569" s="138"/>
      <c r="F569" s="420"/>
      <c r="G569" s="141"/>
      <c r="H569" s="141"/>
      <c r="I569" s="141"/>
      <c r="J569" s="141"/>
      <c r="K569" s="141"/>
      <c r="L569" s="141"/>
      <c r="O569" s="619"/>
    </row>
    <row r="570" spans="1:15" s="382" customFormat="1" ht="12.75">
      <c r="A570" s="136"/>
      <c r="B570" s="137"/>
      <c r="C570" s="138"/>
      <c r="D570" s="138"/>
      <c r="E570" s="136"/>
      <c r="F570" s="419"/>
      <c r="G570" s="140"/>
      <c r="H570" s="140"/>
      <c r="I570" s="140"/>
      <c r="J570" s="140"/>
      <c r="K570" s="140"/>
      <c r="L570" s="140"/>
      <c r="O570" s="619"/>
    </row>
    <row r="571" spans="1:15" s="382" customFormat="1" ht="12.75">
      <c r="A571" s="138"/>
      <c r="B571" s="135"/>
      <c r="C571" s="136"/>
      <c r="D571" s="136"/>
      <c r="E571" s="138"/>
      <c r="F571" s="420"/>
      <c r="G571" s="141"/>
      <c r="H571" s="142"/>
      <c r="I571" s="141"/>
      <c r="J571" s="141"/>
      <c r="K571" s="141"/>
      <c r="L571" s="141"/>
      <c r="O571" s="619"/>
    </row>
    <row r="572" spans="1:15" s="382" customFormat="1" ht="12.75">
      <c r="A572" s="136"/>
      <c r="B572" s="137"/>
      <c r="C572" s="138"/>
      <c r="D572" s="138"/>
      <c r="E572" s="136"/>
      <c r="F572" s="419"/>
      <c r="G572" s="140"/>
      <c r="H572" s="140"/>
      <c r="I572" s="143"/>
      <c r="J572" s="140"/>
      <c r="K572" s="140"/>
      <c r="L572" s="140"/>
      <c r="O572" s="619"/>
    </row>
    <row r="573" spans="1:15" s="382" customFormat="1" ht="12.75">
      <c r="A573" s="138"/>
      <c r="B573" s="135"/>
      <c r="C573" s="136"/>
      <c r="D573" s="136"/>
      <c r="E573" s="138"/>
      <c r="F573" s="420"/>
      <c r="G573" s="141"/>
      <c r="H573" s="141"/>
      <c r="I573" s="141"/>
      <c r="J573" s="141"/>
      <c r="K573" s="141"/>
      <c r="L573" s="141"/>
      <c r="O573" s="619"/>
    </row>
    <row r="574" spans="1:15" s="382" customFormat="1" ht="12.75">
      <c r="A574" s="136"/>
      <c r="B574" s="137"/>
      <c r="C574" s="138"/>
      <c r="D574" s="138"/>
      <c r="E574" s="136"/>
      <c r="F574" s="419"/>
      <c r="G574" s="140"/>
      <c r="H574" s="140"/>
      <c r="I574" s="143"/>
      <c r="J574" s="140"/>
      <c r="K574" s="140"/>
      <c r="L574" s="140"/>
      <c r="O574" s="619"/>
    </row>
    <row r="575" spans="1:15" s="382" customFormat="1" ht="12.75">
      <c r="A575" s="138"/>
      <c r="B575" s="135"/>
      <c r="C575" s="136"/>
      <c r="D575" s="136"/>
      <c r="E575" s="138"/>
      <c r="F575" s="420"/>
      <c r="G575" s="141"/>
      <c r="H575" s="141"/>
      <c r="I575" s="141"/>
      <c r="J575" s="141"/>
      <c r="K575" s="141"/>
      <c r="L575" s="141"/>
      <c r="O575" s="619"/>
    </row>
    <row r="576" spans="1:15" s="382" customFormat="1" ht="12.75">
      <c r="A576" s="136"/>
      <c r="B576" s="137"/>
      <c r="C576" s="138"/>
      <c r="D576" s="138"/>
      <c r="E576" s="136"/>
      <c r="F576" s="419"/>
      <c r="G576" s="140"/>
      <c r="H576" s="140"/>
      <c r="I576" s="143"/>
      <c r="J576" s="140"/>
      <c r="K576" s="140"/>
      <c r="L576" s="140"/>
      <c r="O576" s="619"/>
    </row>
    <row r="577" spans="1:15" s="382" customFormat="1" ht="12.75">
      <c r="A577" s="138"/>
      <c r="B577" s="135"/>
      <c r="C577" s="136"/>
      <c r="D577" s="136"/>
      <c r="E577" s="138"/>
      <c r="F577" s="420"/>
      <c r="G577" s="141"/>
      <c r="H577" s="141"/>
      <c r="I577" s="141"/>
      <c r="J577" s="141"/>
      <c r="K577" s="141"/>
      <c r="L577" s="141"/>
      <c r="O577" s="619"/>
    </row>
    <row r="578" spans="1:15" s="382" customFormat="1" ht="12.75">
      <c r="A578" s="136"/>
      <c r="B578" s="139"/>
      <c r="C578" s="138"/>
      <c r="D578" s="138"/>
      <c r="E578" s="136"/>
      <c r="F578" s="419"/>
      <c r="G578" s="140"/>
      <c r="H578" s="140"/>
      <c r="I578" s="140"/>
      <c r="J578" s="140"/>
      <c r="K578" s="140"/>
      <c r="L578" s="140"/>
      <c r="O578" s="619"/>
    </row>
    <row r="579" spans="1:15" s="382" customFormat="1" ht="12.75">
      <c r="A579" s="138"/>
      <c r="B579" s="135"/>
      <c r="C579" s="136"/>
      <c r="D579" s="136"/>
      <c r="E579" s="138"/>
      <c r="F579" s="420"/>
      <c r="G579" s="141"/>
      <c r="H579" s="141"/>
      <c r="I579" s="141"/>
      <c r="J579" s="141"/>
      <c r="K579" s="141"/>
      <c r="L579" s="141"/>
      <c r="O579" s="619"/>
    </row>
    <row r="580" spans="1:15" s="382" customFormat="1" ht="12.75">
      <c r="A580" s="136"/>
      <c r="B580" s="137"/>
      <c r="C580" s="138"/>
      <c r="D580" s="138"/>
      <c r="E580" s="136"/>
      <c r="F580" s="419"/>
      <c r="G580" s="140"/>
      <c r="H580" s="140"/>
      <c r="I580" s="143"/>
      <c r="J580" s="140"/>
      <c r="K580" s="140"/>
      <c r="L580" s="140"/>
      <c r="O580" s="619"/>
    </row>
    <row r="581" spans="1:15" s="382" customFormat="1" ht="12.75">
      <c r="A581" s="138"/>
      <c r="B581" s="135"/>
      <c r="C581" s="136"/>
      <c r="D581" s="136"/>
      <c r="E581" s="138"/>
      <c r="F581" s="420"/>
      <c r="G581" s="141"/>
      <c r="H581" s="141"/>
      <c r="I581" s="141"/>
      <c r="J581" s="141"/>
      <c r="K581" s="141"/>
      <c r="L581" s="141"/>
      <c r="O581" s="619"/>
    </row>
    <row r="582" spans="1:15" s="382" customFormat="1" ht="12.75">
      <c r="A582" s="136"/>
      <c r="B582" s="137"/>
      <c r="C582" s="138"/>
      <c r="D582" s="138"/>
      <c r="E582" s="136"/>
      <c r="F582" s="419"/>
      <c r="G582" s="140"/>
      <c r="H582" s="140"/>
      <c r="I582" s="140"/>
      <c r="J582" s="140"/>
      <c r="K582" s="140"/>
      <c r="L582" s="140"/>
      <c r="O582" s="619"/>
    </row>
    <row r="583" spans="1:15" s="382" customFormat="1" ht="12.75">
      <c r="A583" s="138"/>
      <c r="B583" s="135"/>
      <c r="C583" s="136"/>
      <c r="D583" s="136"/>
      <c r="E583" s="138"/>
      <c r="F583" s="420"/>
      <c r="G583" s="141"/>
      <c r="H583" s="141"/>
      <c r="I583" s="141"/>
      <c r="J583" s="141"/>
      <c r="K583" s="141"/>
      <c r="L583" s="141"/>
      <c r="O583" s="619"/>
    </row>
    <row r="584" spans="1:15" s="382" customFormat="1" ht="12.75">
      <c r="A584" s="136"/>
      <c r="B584" s="137"/>
      <c r="C584" s="138"/>
      <c r="D584" s="138"/>
      <c r="E584" s="136"/>
      <c r="F584" s="419"/>
      <c r="G584" s="140"/>
      <c r="H584" s="140"/>
      <c r="I584" s="143"/>
      <c r="J584" s="140"/>
      <c r="K584" s="140"/>
      <c r="L584" s="140"/>
      <c r="O584" s="619"/>
    </row>
    <row r="585" spans="1:15" s="382" customFormat="1" ht="12.75">
      <c r="A585" s="138"/>
      <c r="B585" s="135"/>
      <c r="C585" s="136"/>
      <c r="D585" s="136"/>
      <c r="E585" s="138"/>
      <c r="F585" s="420"/>
      <c r="G585" s="141"/>
      <c r="H585" s="141"/>
      <c r="I585" s="141"/>
      <c r="J585" s="141"/>
      <c r="K585" s="141"/>
      <c r="L585" s="141"/>
      <c r="O585" s="619"/>
    </row>
    <row r="586" spans="1:15" s="382" customFormat="1" ht="12.75">
      <c r="A586" s="136"/>
      <c r="B586" s="137"/>
      <c r="C586" s="138"/>
      <c r="D586" s="138"/>
      <c r="E586" s="136"/>
      <c r="F586" s="419"/>
      <c r="G586" s="140"/>
      <c r="H586" s="140"/>
      <c r="I586" s="143"/>
      <c r="J586" s="140"/>
      <c r="K586" s="140"/>
      <c r="L586" s="140"/>
      <c r="O586" s="619"/>
    </row>
    <row r="587" spans="1:15" s="382" customFormat="1" ht="12.75">
      <c r="A587" s="138"/>
      <c r="B587" s="135"/>
      <c r="C587" s="136"/>
      <c r="D587" s="136"/>
      <c r="E587" s="138"/>
      <c r="F587" s="420"/>
      <c r="G587" s="141"/>
      <c r="H587" s="141"/>
      <c r="I587" s="141"/>
      <c r="J587" s="141"/>
      <c r="K587" s="141"/>
      <c r="L587" s="141"/>
      <c r="O587" s="619"/>
    </row>
    <row r="588" spans="1:15" s="382" customFormat="1" ht="12.75">
      <c r="A588" s="136"/>
      <c r="B588" s="137"/>
      <c r="C588" s="138"/>
      <c r="D588" s="138"/>
      <c r="E588" s="136"/>
      <c r="F588" s="419"/>
      <c r="G588" s="140"/>
      <c r="H588" s="140"/>
      <c r="I588" s="143"/>
      <c r="J588" s="140"/>
      <c r="K588" s="140"/>
      <c r="L588" s="140"/>
      <c r="O588" s="619"/>
    </row>
    <row r="589" spans="1:15" s="382" customFormat="1" ht="12.75">
      <c r="A589" s="138"/>
      <c r="B589" s="135"/>
      <c r="C589" s="136"/>
      <c r="D589" s="136"/>
      <c r="E589" s="138"/>
      <c r="F589" s="420"/>
      <c r="G589" s="141"/>
      <c r="H589" s="141"/>
      <c r="I589" s="141"/>
      <c r="J589" s="141"/>
      <c r="K589" s="141"/>
      <c r="L589" s="141"/>
      <c r="O589" s="619"/>
    </row>
    <row r="590" spans="1:15">
      <c r="M590" s="382"/>
      <c r="N590" s="382"/>
    </row>
    <row r="591" spans="1:15">
      <c r="M591" s="382"/>
      <c r="N591" s="382"/>
    </row>
  </sheetData>
  <mergeCells count="7">
    <mergeCell ref="B21:C21"/>
    <mergeCell ref="B20:C20"/>
    <mergeCell ref="B15:D15"/>
    <mergeCell ref="B17:C17"/>
    <mergeCell ref="B16:C16"/>
    <mergeCell ref="B18:C18"/>
    <mergeCell ref="B19:C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B3:K16"/>
  <sheetViews>
    <sheetView topLeftCell="B1" workbookViewId="0">
      <selection activeCell="H23" sqref="H23"/>
    </sheetView>
  </sheetViews>
  <sheetFormatPr baseColWidth="10" defaultRowHeight="15"/>
  <cols>
    <col min="1" max="1" width="4.5703125" customWidth="1"/>
    <col min="2" max="2" width="37.28515625" customWidth="1"/>
    <col min="3" max="3" width="18.28515625" customWidth="1"/>
    <col min="4" max="4" width="12.7109375" customWidth="1"/>
    <col min="6" max="6" width="5.85546875" customWidth="1"/>
    <col min="7" max="7" width="5.28515625" customWidth="1"/>
    <col min="8" max="8" width="29.7109375" customWidth="1"/>
  </cols>
  <sheetData>
    <row r="3" spans="2:11">
      <c r="B3" s="211"/>
      <c r="C3" s="585" t="s">
        <v>4139</v>
      </c>
      <c r="D3" s="585" t="s">
        <v>4140</v>
      </c>
      <c r="E3" s="585" t="s">
        <v>4141</v>
      </c>
      <c r="F3" s="211"/>
      <c r="G3" s="211"/>
      <c r="H3" s="1" t="s">
        <v>4142</v>
      </c>
      <c r="I3" s="211"/>
      <c r="J3" s="211"/>
      <c r="K3" s="211"/>
    </row>
    <row r="4" spans="2:11">
      <c r="B4" s="586" t="s">
        <v>4143</v>
      </c>
      <c r="C4" s="587">
        <v>33902707.100000001</v>
      </c>
      <c r="D4" s="588">
        <f>SUM(D5:D8)</f>
        <v>22010752.32</v>
      </c>
      <c r="E4" s="588">
        <f>SUM(E5:E8)</f>
        <v>11889046.810000001</v>
      </c>
      <c r="F4" s="211"/>
      <c r="G4" s="573"/>
      <c r="H4" s="580"/>
      <c r="I4" s="589" t="s">
        <v>4144</v>
      </c>
      <c r="J4" s="589" t="s">
        <v>4145</v>
      </c>
      <c r="K4" s="589" t="s">
        <v>4139</v>
      </c>
    </row>
    <row r="5" spans="2:11">
      <c r="B5" s="586" t="s">
        <v>414</v>
      </c>
      <c r="C5" s="587">
        <f>D5+E5</f>
        <v>8912543.0899999999</v>
      </c>
      <c r="D5" s="588">
        <v>5773782.1800000006</v>
      </c>
      <c r="E5" s="588">
        <v>3138760.91</v>
      </c>
      <c r="F5" s="211"/>
      <c r="G5" s="211"/>
      <c r="H5" s="580" t="s">
        <v>4146</v>
      </c>
      <c r="I5" s="590">
        <v>728</v>
      </c>
      <c r="J5" s="590">
        <v>1479</v>
      </c>
      <c r="K5" s="590">
        <f>I5+J5</f>
        <v>2207</v>
      </c>
    </row>
    <row r="6" spans="2:11">
      <c r="B6" s="586" t="s">
        <v>414</v>
      </c>
      <c r="C6" s="587">
        <f>D6+E6</f>
        <v>14067998.290000001</v>
      </c>
      <c r="D6" s="588">
        <v>10204835.24</v>
      </c>
      <c r="E6" s="588">
        <v>3863163.0500000003</v>
      </c>
      <c r="F6" s="211"/>
      <c r="G6" s="211"/>
      <c r="H6" s="580" t="s">
        <v>4147</v>
      </c>
      <c r="I6" s="590">
        <v>319</v>
      </c>
      <c r="J6" s="590">
        <v>440</v>
      </c>
      <c r="K6" s="590">
        <f t="shared" ref="K6:K7" si="0">I6+J6</f>
        <v>759</v>
      </c>
    </row>
    <row r="7" spans="2:11">
      <c r="B7" s="586" t="s">
        <v>414</v>
      </c>
      <c r="C7" s="587">
        <f>D7+E7</f>
        <v>10919257.75</v>
      </c>
      <c r="D7" s="588">
        <v>6032134.9000000004</v>
      </c>
      <c r="E7" s="588">
        <v>4887122.8499999996</v>
      </c>
      <c r="F7" s="211"/>
      <c r="G7" s="211"/>
      <c r="H7" s="580" t="s">
        <v>4148</v>
      </c>
      <c r="I7" s="590">
        <v>57</v>
      </c>
      <c r="J7" s="590">
        <v>43</v>
      </c>
      <c r="K7" s="590">
        <f t="shared" si="0"/>
        <v>100</v>
      </c>
    </row>
    <row r="8" spans="2:11">
      <c r="B8" s="211"/>
      <c r="C8" s="211"/>
      <c r="D8" s="211"/>
      <c r="E8" s="211"/>
      <c r="F8" s="211"/>
      <c r="G8" s="211"/>
      <c r="H8" s="591" t="s">
        <v>4149</v>
      </c>
      <c r="I8" s="592">
        <f>I5+I6+I7</f>
        <v>1104</v>
      </c>
      <c r="J8" s="592">
        <f>J5+J6+J7</f>
        <v>1962</v>
      </c>
      <c r="K8" s="592">
        <f>SUM(K5:K7)</f>
        <v>3066</v>
      </c>
    </row>
    <row r="9" spans="2:11"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pans="2:11">
      <c r="B10" s="574"/>
      <c r="C10" s="575"/>
      <c r="D10" s="576"/>
      <c r="E10" s="576"/>
      <c r="F10" s="574"/>
      <c r="G10" s="577"/>
      <c r="H10" s="578" t="s">
        <v>4150</v>
      </c>
      <c r="I10" s="579">
        <v>242</v>
      </c>
      <c r="J10" s="579">
        <v>283</v>
      </c>
      <c r="K10" s="580">
        <f>SUM(I10:J10)</f>
        <v>525</v>
      </c>
    </row>
    <row r="11" spans="2:11">
      <c r="B11" s="574"/>
      <c r="C11" s="575"/>
      <c r="D11" s="576"/>
      <c r="E11" s="576"/>
      <c r="F11" s="574"/>
      <c r="G11" s="577"/>
      <c r="H11" s="581" t="s">
        <v>4151</v>
      </c>
      <c r="I11" s="579">
        <f>I12+I13+I14</f>
        <v>862</v>
      </c>
      <c r="J11" s="579">
        <f t="shared" ref="J11" si="1">J12+J13+J14</f>
        <v>1679</v>
      </c>
      <c r="K11" s="579">
        <f>K12+K13+K14</f>
        <v>2541</v>
      </c>
    </row>
    <row r="12" spans="2:11">
      <c r="B12" s="574"/>
      <c r="C12" s="575"/>
      <c r="D12" s="576"/>
      <c r="E12" s="576"/>
      <c r="F12" s="574"/>
      <c r="G12" s="577"/>
      <c r="H12" s="582" t="s">
        <v>4152</v>
      </c>
      <c r="I12" s="579">
        <f>240+65</f>
        <v>305</v>
      </c>
      <c r="J12" s="579">
        <f>427+93</f>
        <v>520</v>
      </c>
      <c r="K12" s="580">
        <f>SUM(I12:J12)</f>
        <v>825</v>
      </c>
    </row>
    <row r="13" spans="2:11">
      <c r="B13" s="574"/>
      <c r="C13" s="575"/>
      <c r="D13" s="576"/>
      <c r="E13" s="576"/>
      <c r="F13" s="574"/>
      <c r="G13" s="577"/>
      <c r="H13" s="582" t="s">
        <v>4153</v>
      </c>
      <c r="I13" s="579">
        <v>259</v>
      </c>
      <c r="J13" s="579">
        <v>631</v>
      </c>
      <c r="K13" s="580">
        <f>SUM(I13:J13)</f>
        <v>890</v>
      </c>
    </row>
    <row r="14" spans="2:11">
      <c r="B14" s="574"/>
      <c r="C14" s="575"/>
      <c r="D14" s="576"/>
      <c r="E14" s="576"/>
      <c r="F14" s="574"/>
      <c r="G14" s="577"/>
      <c r="H14" s="582" t="s">
        <v>4154</v>
      </c>
      <c r="I14" s="579">
        <v>298</v>
      </c>
      <c r="J14" s="579">
        <v>528</v>
      </c>
      <c r="K14" s="580">
        <f>I14+J14</f>
        <v>826</v>
      </c>
    </row>
    <row r="15" spans="2:11">
      <c r="B15" s="574"/>
      <c r="C15" s="575"/>
      <c r="D15" s="576"/>
      <c r="E15" s="576"/>
      <c r="F15" s="574"/>
      <c r="G15" s="577"/>
      <c r="H15" s="583" t="s">
        <v>4149</v>
      </c>
      <c r="I15" s="584">
        <f>I10+I11</f>
        <v>1104</v>
      </c>
      <c r="J15" s="584">
        <f t="shared" ref="J15:K15" si="2">J10+J11</f>
        <v>1962</v>
      </c>
      <c r="K15" s="584">
        <f t="shared" si="2"/>
        <v>3066</v>
      </c>
    </row>
    <row r="16" spans="2:11">
      <c r="F16" t="s">
        <v>4138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249977111117893"/>
  </sheetPr>
  <dimension ref="B3:L9"/>
  <sheetViews>
    <sheetView workbookViewId="0">
      <selection activeCell="B4" sqref="B4:G9"/>
    </sheetView>
  </sheetViews>
  <sheetFormatPr baseColWidth="10" defaultRowHeight="15"/>
  <cols>
    <col min="1" max="1" width="3.28515625" customWidth="1"/>
    <col min="2" max="2" width="24.7109375" customWidth="1"/>
    <col min="3" max="4" width="16.140625" customWidth="1"/>
    <col min="5" max="5" width="17" customWidth="1"/>
    <col min="6" max="6" width="13.28515625" customWidth="1"/>
    <col min="7" max="7" width="15.42578125" customWidth="1"/>
  </cols>
  <sheetData>
    <row r="3" spans="2:12"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2:12">
      <c r="B4" s="211"/>
      <c r="C4" s="458" t="s">
        <v>4155</v>
      </c>
      <c r="D4" s="458" t="s">
        <v>4156</v>
      </c>
      <c r="E4" s="458" t="s">
        <v>4157</v>
      </c>
      <c r="F4" s="211"/>
      <c r="G4" s="211"/>
      <c r="H4" s="211"/>
      <c r="I4" s="211"/>
      <c r="J4" s="211"/>
      <c r="K4" s="211"/>
      <c r="L4" s="211"/>
    </row>
    <row r="5" spans="2:12">
      <c r="B5" s="600" t="s">
        <v>4159</v>
      </c>
      <c r="C5" s="598">
        <f>'DATOS GÉNERO '!E4</f>
        <v>11889046.810000001</v>
      </c>
      <c r="D5" s="599">
        <f>'DATOS GÉNERO '!D4</f>
        <v>22010752.32</v>
      </c>
      <c r="E5" s="598">
        <f>'DATOS GÉNERO '!C4</f>
        <v>33902707.100000001</v>
      </c>
      <c r="F5" s="211"/>
      <c r="G5" s="594"/>
      <c r="H5" s="211"/>
      <c r="I5" s="211"/>
      <c r="J5" s="211"/>
      <c r="K5" s="211"/>
      <c r="L5" s="211"/>
    </row>
    <row r="6" spans="2:12">
      <c r="B6" s="601" t="s">
        <v>4160</v>
      </c>
      <c r="C6" s="596">
        <v>1104</v>
      </c>
      <c r="D6" s="596">
        <v>1962</v>
      </c>
      <c r="E6" s="596">
        <v>3066</v>
      </c>
      <c r="F6" s="597">
        <f>C6/E6</f>
        <v>0.36007827788649704</v>
      </c>
      <c r="G6" s="211" t="s">
        <v>4199</v>
      </c>
      <c r="H6" s="211"/>
      <c r="I6" s="211"/>
      <c r="J6" s="211"/>
      <c r="K6" s="211"/>
    </row>
    <row r="7" spans="2:12">
      <c r="B7" s="211"/>
      <c r="C7" s="211"/>
      <c r="D7" s="211"/>
      <c r="E7" s="211"/>
      <c r="F7" s="597">
        <v>0.5</v>
      </c>
      <c r="G7" s="211" t="s">
        <v>4200</v>
      </c>
      <c r="H7" s="211"/>
      <c r="I7" s="211"/>
      <c r="J7" s="211"/>
      <c r="K7" s="211"/>
    </row>
    <row r="8" spans="2:12">
      <c r="B8" s="211" t="s">
        <v>4158</v>
      </c>
      <c r="C8" s="593">
        <f>(E5*F6)</f>
        <v>12207628.388258317</v>
      </c>
      <c r="D8" s="751">
        <f>C5-C8</f>
        <v>-318581.57825831696</v>
      </c>
      <c r="E8" s="595">
        <f>D8/E5</f>
        <v>-9.396936277643651E-3</v>
      </c>
      <c r="F8" s="752">
        <f>1+E8</f>
        <v>0.9906030637223564</v>
      </c>
      <c r="G8" s="211"/>
      <c r="H8" s="211"/>
      <c r="I8" s="211"/>
      <c r="J8" s="211"/>
    </row>
    <row r="9" spans="2:12">
      <c r="B9" s="4" t="s">
        <v>4201</v>
      </c>
      <c r="C9" s="593">
        <f>(E5*F7)</f>
        <v>16951353.550000001</v>
      </c>
      <c r="D9" s="144">
        <f>C5-C9</f>
        <v>-5062306.74</v>
      </c>
      <c r="E9" s="595">
        <f>D9/E5</f>
        <v>-0.14931865839114658</v>
      </c>
      <c r="F9" s="752">
        <f>1+E9</f>
        <v>0.85068134160885345</v>
      </c>
      <c r="G9" s="211"/>
      <c r="H9" s="211"/>
      <c r="I9" s="211"/>
      <c r="J9" s="211"/>
      <c r="K9" s="211"/>
    </row>
  </sheetData>
  <hyperlinks>
    <hyperlink ref="B5" r:id="rId1" display="http://s.coop/" xr:uid="{00000000-0004-0000-0D00-000000000000}"/>
  </hyperlinks>
  <pageMargins left="0.7" right="0.7" top="0.75" bottom="0.75" header="0.3" footer="0.3"/>
  <pageSetup paperSize="9" orientation="portrait" horizontalDpi="1200" verticalDpi="1200"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M16"/>
  <sheetViews>
    <sheetView showGridLines="0" zoomScale="50" zoomScaleNormal="50" workbookViewId="0">
      <selection activeCell="K23" sqref="K23"/>
    </sheetView>
  </sheetViews>
  <sheetFormatPr baseColWidth="10" defaultColWidth="11.42578125" defaultRowHeight="12.75"/>
  <cols>
    <col min="1" max="1" width="3.42578125" style="382" customWidth="1"/>
    <col min="2" max="2" width="43.85546875" style="382" customWidth="1"/>
    <col min="3" max="3" width="29.140625" style="382" customWidth="1"/>
    <col min="4" max="4" width="29.5703125" style="382" customWidth="1"/>
    <col min="5" max="5" width="21.140625" style="382" customWidth="1"/>
    <col min="6" max="6" width="20.28515625" style="382" customWidth="1"/>
    <col min="7" max="7" width="14.5703125" style="382" customWidth="1"/>
    <col min="8" max="8" width="11.28515625" style="382" customWidth="1"/>
    <col min="9" max="10" width="16.28515625" style="382" customWidth="1"/>
    <col min="11" max="11" width="11.7109375" style="382" customWidth="1"/>
    <col min="12" max="12" width="33.7109375" style="382" customWidth="1"/>
    <col min="13" max="13" width="61.140625" style="382" customWidth="1"/>
    <col min="14" max="16384" width="11.42578125" style="382"/>
  </cols>
  <sheetData>
    <row r="1" spans="1:13" ht="15">
      <c r="A1" s="455"/>
      <c r="B1" s="456" t="s">
        <v>206</v>
      </c>
      <c r="C1" s="457"/>
      <c r="D1" s="456" t="s">
        <v>207</v>
      </c>
      <c r="E1" s="456" t="s">
        <v>208</v>
      </c>
      <c r="F1" s="456" t="s">
        <v>209</v>
      </c>
      <c r="G1" s="456" t="s">
        <v>210</v>
      </c>
      <c r="H1" s="456" t="s">
        <v>211</v>
      </c>
      <c r="I1" s="456" t="s">
        <v>212</v>
      </c>
      <c r="J1" s="456" t="s">
        <v>213</v>
      </c>
      <c r="K1" s="456" t="s">
        <v>214</v>
      </c>
      <c r="L1" s="456" t="s">
        <v>207</v>
      </c>
      <c r="M1" s="458" t="s">
        <v>27</v>
      </c>
    </row>
    <row r="2" spans="1:13" ht="37.5" customHeight="1">
      <c r="A2" s="447">
        <v>1</v>
      </c>
      <c r="B2" s="448" t="s">
        <v>526</v>
      </c>
      <c r="C2" s="448" t="s">
        <v>530</v>
      </c>
      <c r="D2" s="448" t="s">
        <v>215</v>
      </c>
      <c r="E2" s="448" t="s">
        <v>3424</v>
      </c>
      <c r="F2" s="150" t="s">
        <v>3420</v>
      </c>
      <c r="G2" s="150">
        <f>DATOS!D27</f>
        <v>209</v>
      </c>
      <c r="H2" s="151"/>
      <c r="I2" s="151">
        <v>4628</v>
      </c>
      <c r="J2" s="153">
        <f t="shared" ref="J2:J7" si="0">G2*I2</f>
        <v>967252</v>
      </c>
      <c r="K2" s="533">
        <f t="shared" ref="K2:K7" si="1">J2/J$8</f>
        <v>0.16558743315100635</v>
      </c>
      <c r="L2" s="448" t="str">
        <f>D2</f>
        <v>AAPP</v>
      </c>
      <c r="M2" s="448" t="e">
        <f>#REF!</f>
        <v>#REF!</v>
      </c>
    </row>
    <row r="3" spans="1:13" ht="15">
      <c r="A3" s="449">
        <v>2</v>
      </c>
      <c r="B3" s="450" t="s">
        <v>527</v>
      </c>
      <c r="C3" s="451" t="s">
        <v>530</v>
      </c>
      <c r="D3" s="451" t="s">
        <v>215</v>
      </c>
      <c r="E3" s="451" t="s">
        <v>3424</v>
      </c>
      <c r="F3" s="205" t="s">
        <v>3420</v>
      </c>
      <c r="G3" s="205">
        <f>DATOS!D28</f>
        <v>877</v>
      </c>
      <c r="H3" s="206"/>
      <c r="I3" s="208">
        <v>4930</v>
      </c>
      <c r="J3" s="207">
        <f t="shared" si="0"/>
        <v>4323610</v>
      </c>
      <c r="K3" s="536">
        <f t="shared" si="1"/>
        <v>0.74017472369767401</v>
      </c>
      <c r="L3" s="451" t="str">
        <f t="shared" ref="L3:L7" si="2">D3</f>
        <v>AAPP</v>
      </c>
      <c r="M3" s="459" t="s">
        <v>531</v>
      </c>
    </row>
    <row r="4" spans="1:13" ht="15">
      <c r="A4" s="460">
        <v>3</v>
      </c>
      <c r="B4" s="461" t="s">
        <v>401</v>
      </c>
      <c r="C4" s="462"/>
      <c r="D4" s="462" t="s">
        <v>215</v>
      </c>
      <c r="E4" s="462" t="s">
        <v>3424</v>
      </c>
      <c r="F4" s="463" t="s">
        <v>3421</v>
      </c>
      <c r="G4" s="463">
        <f>DATOS!D29</f>
        <v>209</v>
      </c>
      <c r="H4" s="464"/>
      <c r="I4" s="464">
        <v>1375</v>
      </c>
      <c r="J4" s="465">
        <f t="shared" si="0"/>
        <v>287375</v>
      </c>
      <c r="K4" s="533">
        <f t="shared" si="1"/>
        <v>4.9196784914138661E-2</v>
      </c>
      <c r="L4" s="462" t="str">
        <f t="shared" si="2"/>
        <v>AAPP</v>
      </c>
      <c r="M4" s="453" t="s">
        <v>532</v>
      </c>
    </row>
    <row r="5" spans="1:13" ht="15">
      <c r="A5" s="449">
        <v>4</v>
      </c>
      <c r="B5" s="451" t="s">
        <v>528</v>
      </c>
      <c r="C5" s="451"/>
      <c r="D5" s="451" t="s">
        <v>3422</v>
      </c>
      <c r="E5" s="451" t="s">
        <v>3425</v>
      </c>
      <c r="F5" s="205" t="s">
        <v>3423</v>
      </c>
      <c r="G5" s="205">
        <f>DATOS!D30</f>
        <v>26</v>
      </c>
      <c r="H5" s="205"/>
      <c r="I5" s="205">
        <v>5100</v>
      </c>
      <c r="J5" s="209">
        <f t="shared" si="0"/>
        <v>132600</v>
      </c>
      <c r="K5" s="536">
        <f t="shared" si="1"/>
        <v>2.2700282486697823E-2</v>
      </c>
      <c r="L5" s="451" t="str">
        <f t="shared" si="2"/>
        <v>AAPP  /  USUARIOS / FAMILIAS</v>
      </c>
      <c r="M5" s="459" t="s">
        <v>533</v>
      </c>
    </row>
    <row r="6" spans="1:13" ht="30">
      <c r="A6" s="447">
        <v>5</v>
      </c>
      <c r="B6" s="448" t="s">
        <v>529</v>
      </c>
      <c r="C6" s="452"/>
      <c r="D6" s="448" t="s">
        <v>3422</v>
      </c>
      <c r="E6" s="448" t="s">
        <v>3429</v>
      </c>
      <c r="F6" s="152" t="s">
        <v>3427</v>
      </c>
      <c r="G6" s="463">
        <f>DATOS!D31</f>
        <v>0</v>
      </c>
      <c r="H6" s="150"/>
      <c r="I6" s="454">
        <v>47500</v>
      </c>
      <c r="J6" s="154">
        <f t="shared" si="0"/>
        <v>0</v>
      </c>
      <c r="K6" s="533">
        <f t="shared" si="1"/>
        <v>0</v>
      </c>
      <c r="L6" s="448" t="str">
        <f t="shared" si="2"/>
        <v>AAPP  /  USUARIOS / FAMILIAS</v>
      </c>
      <c r="M6" s="447" t="s">
        <v>534</v>
      </c>
    </row>
    <row r="7" spans="1:13" ht="30">
      <c r="A7" s="449">
        <v>6</v>
      </c>
      <c r="B7" s="451" t="s">
        <v>3428</v>
      </c>
      <c r="C7" s="451"/>
      <c r="D7" s="451" t="s">
        <v>3422</v>
      </c>
      <c r="E7" s="451" t="s">
        <v>3426</v>
      </c>
      <c r="F7" s="205" t="s">
        <v>3430</v>
      </c>
      <c r="G7" s="205">
        <f>DATOS!D32</f>
        <v>29</v>
      </c>
      <c r="H7" s="205"/>
      <c r="I7" s="205">
        <v>4500</v>
      </c>
      <c r="J7" s="209">
        <f t="shared" si="0"/>
        <v>130500</v>
      </c>
      <c r="K7" s="536">
        <f t="shared" si="1"/>
        <v>2.2340775750483152E-2</v>
      </c>
      <c r="L7" s="451" t="str">
        <f t="shared" si="2"/>
        <v>AAPP  /  USUARIOS / FAMILIAS</v>
      </c>
      <c r="M7" s="479" t="s">
        <v>534</v>
      </c>
    </row>
    <row r="8" spans="1:13" ht="15.75">
      <c r="J8" s="635">
        <f>SUM(J2:J7)</f>
        <v>5841337</v>
      </c>
    </row>
    <row r="9" spans="1:13" ht="30.75" customHeight="1">
      <c r="C9" s="456" t="s">
        <v>4155</v>
      </c>
      <c r="D9" s="456" t="s">
        <v>4184</v>
      </c>
      <c r="E9" s="456" t="s">
        <v>213</v>
      </c>
      <c r="F9" s="457" t="s">
        <v>4185</v>
      </c>
      <c r="G9" s="457" t="s">
        <v>4186</v>
      </c>
    </row>
    <row r="10" spans="1:13" ht="15">
      <c r="B10" s="448" t="s">
        <v>526</v>
      </c>
      <c r="C10" s="382">
        <v>1</v>
      </c>
      <c r="D10" s="382">
        <v>1</v>
      </c>
      <c r="E10" s="153">
        <f>J2</f>
        <v>967252</v>
      </c>
      <c r="F10" s="153">
        <f>E10/(C10/C10+D10)</f>
        <v>483626</v>
      </c>
    </row>
    <row r="11" spans="1:13" ht="15">
      <c r="B11" s="450" t="s">
        <v>527</v>
      </c>
      <c r="C11" s="450">
        <v>1</v>
      </c>
      <c r="D11" s="450">
        <v>1</v>
      </c>
      <c r="E11" s="634">
        <f t="shared" ref="E11:E15" si="3">J3</f>
        <v>4323610</v>
      </c>
      <c r="F11" s="634">
        <f t="shared" ref="F11:F15" si="4">E11/(C11/C11+D11)</f>
        <v>2161805</v>
      </c>
    </row>
    <row r="12" spans="1:13" ht="15">
      <c r="B12" s="461" t="s">
        <v>401</v>
      </c>
      <c r="C12" s="382">
        <v>1</v>
      </c>
      <c r="D12" s="382">
        <v>1</v>
      </c>
      <c r="E12" s="153">
        <f t="shared" si="3"/>
        <v>287375</v>
      </c>
      <c r="F12" s="153">
        <f t="shared" si="4"/>
        <v>143687.5</v>
      </c>
    </row>
    <row r="13" spans="1:13" ht="15">
      <c r="B13" s="451" t="s">
        <v>528</v>
      </c>
      <c r="C13" s="451">
        <v>1</v>
      </c>
      <c r="D13" s="451">
        <v>1</v>
      </c>
      <c r="E13" s="634">
        <f t="shared" si="3"/>
        <v>132600</v>
      </c>
      <c r="F13" s="634">
        <f t="shared" si="4"/>
        <v>66300</v>
      </c>
    </row>
    <row r="14" spans="1:13" ht="15">
      <c r="B14" s="448" t="s">
        <v>529</v>
      </c>
      <c r="C14" s="382">
        <v>1</v>
      </c>
      <c r="D14" s="382">
        <v>1</v>
      </c>
      <c r="E14" s="153">
        <f t="shared" si="3"/>
        <v>0</v>
      </c>
      <c r="F14" s="153">
        <f t="shared" si="4"/>
        <v>0</v>
      </c>
    </row>
    <row r="15" spans="1:13" ht="15">
      <c r="B15" s="451" t="s">
        <v>3428</v>
      </c>
      <c r="C15" s="451">
        <v>1</v>
      </c>
      <c r="D15" s="451">
        <v>1</v>
      </c>
      <c r="E15" s="634">
        <f t="shared" si="3"/>
        <v>130500</v>
      </c>
      <c r="F15" s="634">
        <f t="shared" si="4"/>
        <v>65250</v>
      </c>
    </row>
    <row r="16" spans="1:13" ht="15.75">
      <c r="F16" s="635">
        <f>SUM(F10:F15)</f>
        <v>2920668.5</v>
      </c>
      <c r="G16" s="658">
        <f>F16/J8</f>
        <v>0.5</v>
      </c>
    </row>
  </sheetData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2:Q27"/>
  <sheetViews>
    <sheetView showGridLines="0" topLeftCell="A5" zoomScale="50" zoomScaleNormal="50" workbookViewId="0">
      <selection activeCell="H26" sqref="H26"/>
    </sheetView>
  </sheetViews>
  <sheetFormatPr baseColWidth="10" defaultColWidth="11.42578125" defaultRowHeight="12.75"/>
  <cols>
    <col min="1" max="1" width="5.5703125" style="402" customWidth="1"/>
    <col min="2" max="2" width="44.28515625" style="402" customWidth="1"/>
    <col min="3" max="3" width="34.28515625" style="402" customWidth="1"/>
    <col min="4" max="4" width="17.42578125" style="402" customWidth="1"/>
    <col min="5" max="5" width="11.5703125" style="402" customWidth="1"/>
    <col min="6" max="6" width="12.28515625" style="402" customWidth="1"/>
    <col min="7" max="7" width="20.140625" style="402" customWidth="1"/>
    <col min="8" max="8" width="10" style="402" customWidth="1"/>
    <col min="9" max="9" width="11.85546875" style="402" customWidth="1"/>
    <col min="10" max="10" width="7.42578125" style="402" customWidth="1"/>
    <col min="11" max="11" width="8" style="402" customWidth="1"/>
    <col min="12" max="12" width="14" style="402" customWidth="1"/>
    <col min="13" max="13" width="29.140625" style="402" customWidth="1"/>
    <col min="14" max="14" width="60.7109375" style="402" customWidth="1"/>
    <col min="15" max="15" width="56" style="402" customWidth="1"/>
    <col min="16" max="16" width="94.28515625" style="402" customWidth="1"/>
    <col min="17" max="17" width="94" style="402" customWidth="1"/>
    <col min="18" max="18" width="14.7109375" style="402" customWidth="1"/>
    <col min="19" max="16384" width="11.42578125" style="402"/>
  </cols>
  <sheetData>
    <row r="2" spans="1:17" s="471" customFormat="1" ht="45">
      <c r="A2" s="470"/>
      <c r="B2" s="457" t="s">
        <v>206</v>
      </c>
      <c r="C2" s="457"/>
      <c r="D2" s="457" t="s">
        <v>207</v>
      </c>
      <c r="E2" s="457" t="s">
        <v>209</v>
      </c>
      <c r="F2" s="457" t="s">
        <v>210</v>
      </c>
      <c r="G2" s="457" t="s">
        <v>211</v>
      </c>
      <c r="H2" s="457" t="s">
        <v>212</v>
      </c>
      <c r="I2" s="457" t="s">
        <v>213</v>
      </c>
      <c r="J2" s="457" t="s">
        <v>214</v>
      </c>
      <c r="K2" s="636" t="s">
        <v>4187</v>
      </c>
      <c r="L2" s="457" t="s">
        <v>4185</v>
      </c>
      <c r="M2" s="457" t="s">
        <v>207</v>
      </c>
      <c r="N2" s="210" t="s">
        <v>3431</v>
      </c>
      <c r="O2" s="457" t="s">
        <v>27</v>
      </c>
      <c r="P2" s="210" t="s">
        <v>3432</v>
      </c>
      <c r="Q2" s="210" t="s">
        <v>4189</v>
      </c>
    </row>
    <row r="3" spans="1:17" s="382" customFormat="1" ht="21" customHeight="1">
      <c r="A3" s="466">
        <v>2</v>
      </c>
      <c r="B3" s="467" t="s">
        <v>535</v>
      </c>
      <c r="C3" s="467" t="s">
        <v>545</v>
      </c>
      <c r="D3" s="466" t="s">
        <v>3433</v>
      </c>
      <c r="E3" s="466" t="s">
        <v>3437</v>
      </c>
      <c r="F3" s="466">
        <f>(DATOS!D35+DATOS!D36+DATOS!D37+DATOS!D38)*DATOS!D40</f>
        <v>2918930</v>
      </c>
      <c r="G3" s="466" t="s">
        <v>3434</v>
      </c>
      <c r="H3" s="468">
        <v>10</v>
      </c>
      <c r="I3" s="475">
        <f>F3*H3</f>
        <v>29189300</v>
      </c>
      <c r="J3" s="472">
        <f t="shared" ref="J3:J15" si="0">I3/I$21</f>
        <v>0.63497784842181215</v>
      </c>
      <c r="K3" s="638">
        <v>0.89</v>
      </c>
      <c r="L3" s="637">
        <f>I3*K3</f>
        <v>25978477</v>
      </c>
      <c r="M3" s="466" t="str">
        <f>D3</f>
        <v>FAMILIAS</v>
      </c>
      <c r="N3" s="467" t="s">
        <v>532</v>
      </c>
      <c r="O3" s="467" t="s">
        <v>555</v>
      </c>
      <c r="P3" s="467" t="s">
        <v>3435</v>
      </c>
      <c r="Q3" s="467" t="s">
        <v>4188</v>
      </c>
    </row>
    <row r="4" spans="1:17" s="382" customFormat="1" ht="20.25" customHeight="1">
      <c r="A4" s="403">
        <v>3</v>
      </c>
      <c r="B4" s="473" t="s">
        <v>536</v>
      </c>
      <c r="C4" s="473" t="s">
        <v>546</v>
      </c>
      <c r="D4" s="403" t="s">
        <v>4134</v>
      </c>
      <c r="E4" s="403" t="s">
        <v>3437</v>
      </c>
      <c r="F4" s="403"/>
      <c r="G4" s="403"/>
      <c r="H4" s="469"/>
      <c r="I4" s="476">
        <f>(F3*52.3%)*(23428/1700)*(0.35+0.17)</f>
        <v>10939941.674822589</v>
      </c>
      <c r="J4" s="472">
        <f t="shared" si="0"/>
        <v>0.23798517355808343</v>
      </c>
      <c r="K4" s="638">
        <v>0.5</v>
      </c>
      <c r="L4" s="637">
        <f>I4*K4</f>
        <v>5469970.8374112947</v>
      </c>
      <c r="M4" s="466" t="str">
        <f t="shared" ref="M4:M20" si="1">D4</f>
        <v xml:space="preserve">  AAPP</v>
      </c>
      <c r="N4" s="473" t="s">
        <v>533</v>
      </c>
      <c r="O4" s="473" t="s">
        <v>554</v>
      </c>
      <c r="P4" s="473"/>
    </row>
    <row r="5" spans="1:17" s="382" customFormat="1" ht="19.5" customHeight="1">
      <c r="A5" s="466">
        <v>4</v>
      </c>
      <c r="B5" s="467" t="s">
        <v>537</v>
      </c>
      <c r="C5" s="467" t="s">
        <v>547</v>
      </c>
      <c r="D5" s="466" t="s">
        <v>3436</v>
      </c>
      <c r="E5" s="466" t="s">
        <v>3438</v>
      </c>
      <c r="F5" s="466"/>
      <c r="G5" s="466"/>
      <c r="H5" s="468"/>
      <c r="I5" s="475">
        <f>DATOS!C46*DATOS!C48*DATOS!C47</f>
        <v>183150.00000000006</v>
      </c>
      <c r="J5" s="472">
        <f t="shared" si="0"/>
        <v>3.9842062995157452E-3</v>
      </c>
      <c r="K5" s="638">
        <f>GWEI!F$6</f>
        <v>0.36007827788649704</v>
      </c>
      <c r="L5" s="637"/>
      <c r="M5" s="466" t="str">
        <f t="shared" si="1"/>
        <v>USUARIO / FAMILIAS</v>
      </c>
      <c r="N5" s="467" t="s">
        <v>534</v>
      </c>
      <c r="O5" s="467" t="s">
        <v>556</v>
      </c>
      <c r="P5" s="467"/>
    </row>
    <row r="6" spans="1:17" s="382" customFormat="1" ht="22.5" customHeight="1">
      <c r="A6" s="403">
        <v>5</v>
      </c>
      <c r="B6" s="473" t="s">
        <v>538</v>
      </c>
      <c r="C6" s="473" t="s">
        <v>548</v>
      </c>
      <c r="D6" s="403" t="s">
        <v>3436</v>
      </c>
      <c r="E6" s="403" t="s">
        <v>490</v>
      </c>
      <c r="F6" s="403"/>
      <c r="G6" s="403"/>
      <c r="H6" s="469"/>
      <c r="I6" s="476">
        <f>DATOS!C51+DATOS!C52+DATOS!C53+DATOS!C54</f>
        <v>284024</v>
      </c>
      <c r="J6" s="472">
        <f t="shared" si="0"/>
        <v>6.1785979252725071E-3</v>
      </c>
      <c r="K6" s="638">
        <f>GWEI!F$6</f>
        <v>0.36007827788649704</v>
      </c>
      <c r="L6" s="637">
        <f>I6*K6</f>
        <v>102270.87279843443</v>
      </c>
      <c r="M6" s="466" t="str">
        <f t="shared" si="1"/>
        <v>USUARIO / FAMILIAS</v>
      </c>
      <c r="N6" s="473" t="s">
        <v>534</v>
      </c>
      <c r="O6" s="473" t="s">
        <v>8</v>
      </c>
      <c r="P6" s="473"/>
    </row>
    <row r="7" spans="1:17" s="382" customFormat="1" ht="23.25" customHeight="1">
      <c r="A7" s="466">
        <v>6</v>
      </c>
      <c r="B7" s="467" t="s">
        <v>539</v>
      </c>
      <c r="C7" s="467" t="s">
        <v>549</v>
      </c>
      <c r="D7" s="466" t="s">
        <v>96</v>
      </c>
      <c r="E7" s="466" t="s">
        <v>3437</v>
      </c>
      <c r="F7" s="543"/>
      <c r="G7" s="466" t="s">
        <v>563</v>
      </c>
      <c r="H7" s="468"/>
      <c r="I7" s="475">
        <f>+(DATOS!C57*DATOS!E57*18)+(DATOS!C58*DATOS!E58*18)+(DATOS!C59*DATOS!E59*12)+(DATOS!C60*DATOS!E60*7.5)</f>
        <v>8793</v>
      </c>
      <c r="J7" s="472">
        <f t="shared" si="0"/>
        <v>1.9128105919542416E-4</v>
      </c>
      <c r="K7" s="638" t="s">
        <v>4190</v>
      </c>
      <c r="L7" s="637"/>
      <c r="M7" s="466" t="str">
        <f t="shared" si="1"/>
        <v>SOCIEDAD</v>
      </c>
      <c r="N7" s="467" t="s">
        <v>446</v>
      </c>
      <c r="O7" s="467" t="s">
        <v>557</v>
      </c>
      <c r="P7" s="467" t="s">
        <v>445</v>
      </c>
    </row>
    <row r="8" spans="1:17" s="382" customFormat="1" ht="31.5" customHeight="1">
      <c r="A8" s="403">
        <v>7</v>
      </c>
      <c r="B8" s="473" t="s">
        <v>540</v>
      </c>
      <c r="C8" s="473" t="s">
        <v>550</v>
      </c>
      <c r="D8" s="403" t="s">
        <v>96</v>
      </c>
      <c r="E8" s="403" t="s">
        <v>3437</v>
      </c>
      <c r="F8" s="544">
        <f>+DATOS!C61*DATOS!E61*DATOS!C62</f>
        <v>400</v>
      </c>
      <c r="G8" s="403" t="s">
        <v>564</v>
      </c>
      <c r="H8" s="469">
        <v>7.5</v>
      </c>
      <c r="I8" s="476">
        <f>F8*H8</f>
        <v>3000</v>
      </c>
      <c r="J8" s="472">
        <f t="shared" si="0"/>
        <v>6.5261364447432327E-5</v>
      </c>
      <c r="K8" s="638">
        <v>0.5</v>
      </c>
      <c r="L8" s="637">
        <f>I8*K8</f>
        <v>1500</v>
      </c>
      <c r="M8" s="466" t="str">
        <f t="shared" si="1"/>
        <v>SOCIEDAD</v>
      </c>
      <c r="N8" s="473" t="s">
        <v>571</v>
      </c>
      <c r="O8" s="473" t="s">
        <v>558</v>
      </c>
      <c r="P8" s="473" t="s">
        <v>452</v>
      </c>
    </row>
    <row r="9" spans="1:17" s="382" customFormat="1" ht="24" customHeight="1">
      <c r="A9" s="466">
        <v>8</v>
      </c>
      <c r="B9" s="467" t="s">
        <v>541</v>
      </c>
      <c r="C9" s="467" t="s">
        <v>551</v>
      </c>
      <c r="D9" s="466" t="s">
        <v>96</v>
      </c>
      <c r="E9" s="466" t="s">
        <v>3437</v>
      </c>
      <c r="F9" s="543">
        <f>+DATOS!C63*DATOS!E63</f>
        <v>14535</v>
      </c>
      <c r="G9" s="466" t="s">
        <v>565</v>
      </c>
      <c r="H9" s="468">
        <v>18</v>
      </c>
      <c r="I9" s="475">
        <f t="shared" ref="I9:I15" si="2">F9*H9</f>
        <v>261630</v>
      </c>
      <c r="J9" s="472">
        <f t="shared" si="0"/>
        <v>5.6914435934605741E-3</v>
      </c>
      <c r="K9" s="638" t="s">
        <v>4190</v>
      </c>
      <c r="L9" s="637"/>
      <c r="M9" s="466" t="str">
        <f t="shared" si="1"/>
        <v>SOCIEDAD</v>
      </c>
      <c r="N9" s="467" t="s">
        <v>458</v>
      </c>
      <c r="O9" s="467" t="s">
        <v>559</v>
      </c>
      <c r="P9" s="467" t="s">
        <v>457</v>
      </c>
    </row>
    <row r="10" spans="1:17" s="382" customFormat="1" ht="23.25" customHeight="1">
      <c r="A10" s="403"/>
      <c r="B10" s="473"/>
      <c r="C10" s="473" t="s">
        <v>459</v>
      </c>
      <c r="D10" s="403" t="s">
        <v>42</v>
      </c>
      <c r="E10" s="403" t="s">
        <v>3437</v>
      </c>
      <c r="F10" s="544">
        <f>+DATOS!C64</f>
        <v>22983</v>
      </c>
      <c r="G10" s="403" t="s">
        <v>565</v>
      </c>
      <c r="H10" s="469">
        <v>18</v>
      </c>
      <c r="I10" s="476">
        <f t="shared" si="2"/>
        <v>413694</v>
      </c>
      <c r="J10" s="472">
        <f t="shared" si="0"/>
        <v>8.999411634572024E-3</v>
      </c>
      <c r="K10" s="638">
        <f>GWEI!F$6</f>
        <v>0.36007827788649704</v>
      </c>
      <c r="L10" s="637">
        <f>I10*K10</f>
        <v>148962.22309197651</v>
      </c>
      <c r="M10" s="466" t="str">
        <f t="shared" si="1"/>
        <v>TRABAJADORES</v>
      </c>
      <c r="N10" s="473" t="s">
        <v>462</v>
      </c>
      <c r="O10" s="473" t="s">
        <v>560</v>
      </c>
      <c r="P10" s="473" t="s">
        <v>572</v>
      </c>
    </row>
    <row r="11" spans="1:17" s="382" customFormat="1" ht="30.75" customHeight="1">
      <c r="A11" s="466">
        <v>9</v>
      </c>
      <c r="B11" s="467" t="s">
        <v>542</v>
      </c>
      <c r="C11" s="467" t="s">
        <v>463</v>
      </c>
      <c r="D11" s="466" t="s">
        <v>96</v>
      </c>
      <c r="E11" s="466" t="s">
        <v>3437</v>
      </c>
      <c r="F11" s="543">
        <f>+DATOS!C65</f>
        <v>567.5</v>
      </c>
      <c r="G11" s="466" t="s">
        <v>566</v>
      </c>
      <c r="H11" s="468">
        <v>9</v>
      </c>
      <c r="I11" s="475">
        <f t="shared" si="2"/>
        <v>5107.5</v>
      </c>
      <c r="J11" s="472">
        <f t="shared" si="0"/>
        <v>1.1110747297175355E-4</v>
      </c>
      <c r="K11" s="638" t="s">
        <v>4190</v>
      </c>
      <c r="L11" s="637"/>
      <c r="M11" s="466" t="str">
        <f t="shared" si="1"/>
        <v>SOCIEDAD</v>
      </c>
      <c r="N11" s="467" t="s">
        <v>466</v>
      </c>
      <c r="O11" s="467" t="s">
        <v>561</v>
      </c>
      <c r="P11" s="467" t="s">
        <v>573</v>
      </c>
    </row>
    <row r="12" spans="1:17" s="382" customFormat="1" ht="23.25" customHeight="1">
      <c r="A12" s="403">
        <v>10</v>
      </c>
      <c r="B12" s="473" t="s">
        <v>543</v>
      </c>
      <c r="C12" s="473" t="s">
        <v>467</v>
      </c>
      <c r="D12" s="403" t="s">
        <v>3391</v>
      </c>
      <c r="E12" s="403" t="s">
        <v>3437</v>
      </c>
      <c r="F12" s="544">
        <f>+DATOS!C66*DATOS!C67*DATOS!C68</f>
        <v>19003200</v>
      </c>
      <c r="G12" s="403" t="s">
        <v>567</v>
      </c>
      <c r="H12" s="469">
        <v>0.19</v>
      </c>
      <c r="I12" s="476">
        <f t="shared" si="2"/>
        <v>3610608</v>
      </c>
      <c r="J12" s="472">
        <f t="shared" si="0"/>
        <v>7.8544401521604926E-2</v>
      </c>
      <c r="K12" s="638">
        <f>GWEI!F$6</f>
        <v>0.36007827788649704</v>
      </c>
      <c r="L12" s="637">
        <f>I12*K12</f>
        <v>1300101.5107632093</v>
      </c>
      <c r="M12" s="466" t="str">
        <f t="shared" si="1"/>
        <v>USUARIOS / FAMILIAS</v>
      </c>
      <c r="N12" s="473" t="s">
        <v>470</v>
      </c>
      <c r="O12" s="473" t="s">
        <v>468</v>
      </c>
      <c r="P12" s="473" t="s">
        <v>469</v>
      </c>
    </row>
    <row r="13" spans="1:17" s="382" customFormat="1" ht="24" customHeight="1">
      <c r="A13" s="466"/>
      <c r="B13" s="467"/>
      <c r="C13" s="467" t="s">
        <v>552</v>
      </c>
      <c r="D13" s="466" t="s">
        <v>3391</v>
      </c>
      <c r="E13" s="466" t="s">
        <v>3437</v>
      </c>
      <c r="F13" s="543">
        <f>+DATOS!C67*DATOS!C69*DATOS!E69</f>
        <v>4708</v>
      </c>
      <c r="G13" s="466" t="s">
        <v>568</v>
      </c>
      <c r="H13" s="468">
        <v>10</v>
      </c>
      <c r="I13" s="475">
        <f t="shared" si="2"/>
        <v>47080</v>
      </c>
      <c r="J13" s="472">
        <f t="shared" si="0"/>
        <v>1.0241683460617047E-3</v>
      </c>
      <c r="K13" s="638">
        <f>GWEI!F$6</f>
        <v>0.36007827788649704</v>
      </c>
      <c r="L13" s="637">
        <f>I13*K13</f>
        <v>16952.485322896282</v>
      </c>
      <c r="M13" s="466" t="str">
        <f t="shared" si="1"/>
        <v>USUARIOS / FAMILIAS</v>
      </c>
      <c r="N13" s="467" t="s">
        <v>477</v>
      </c>
      <c r="O13" s="467" t="s">
        <v>468</v>
      </c>
      <c r="P13" s="467" t="s">
        <v>476</v>
      </c>
    </row>
    <row r="14" spans="1:17" s="382" customFormat="1" ht="27" customHeight="1">
      <c r="A14" s="403">
        <v>11</v>
      </c>
      <c r="B14" s="473" t="s">
        <v>544</v>
      </c>
      <c r="C14" s="473" t="s">
        <v>478</v>
      </c>
      <c r="D14" s="403" t="s">
        <v>3391</v>
      </c>
      <c r="E14" s="403" t="s">
        <v>3437</v>
      </c>
      <c r="F14" s="544">
        <f>+DATOS!C70*DATOS!E70</f>
        <v>640</v>
      </c>
      <c r="G14" s="403" t="s">
        <v>569</v>
      </c>
      <c r="H14" s="469">
        <v>50</v>
      </c>
      <c r="I14" s="476">
        <f t="shared" si="2"/>
        <v>32000</v>
      </c>
      <c r="J14" s="472">
        <f t="shared" si="0"/>
        <v>6.9612122077261152E-4</v>
      </c>
      <c r="K14" s="638">
        <f>GWEI!F$6</f>
        <v>0.36007827788649704</v>
      </c>
      <c r="L14" s="637">
        <f>I14*K14</f>
        <v>11522.504892367906</v>
      </c>
      <c r="M14" s="466" t="str">
        <f t="shared" si="1"/>
        <v>USUARIOS / FAMILIAS</v>
      </c>
      <c r="N14" s="473" t="s">
        <v>482</v>
      </c>
      <c r="O14" s="473" t="s">
        <v>562</v>
      </c>
      <c r="P14" s="473" t="s">
        <v>574</v>
      </c>
    </row>
    <row r="15" spans="1:17" s="382" customFormat="1" ht="28.5" customHeight="1">
      <c r="A15" s="466"/>
      <c r="B15" s="466"/>
      <c r="C15" s="467" t="s">
        <v>553</v>
      </c>
      <c r="D15" s="466" t="s">
        <v>3391</v>
      </c>
      <c r="E15" s="466" t="s">
        <v>3437</v>
      </c>
      <c r="F15" s="543">
        <f>+(DATOS!C71*DATOS!E71)+(DATOS!C72*DATOS!E72)</f>
        <v>1261.5</v>
      </c>
      <c r="G15" s="466" t="s">
        <v>570</v>
      </c>
      <c r="H15" s="468">
        <v>12</v>
      </c>
      <c r="I15" s="475">
        <f t="shared" si="2"/>
        <v>15138</v>
      </c>
      <c r="J15" s="472">
        <f t="shared" si="0"/>
        <v>3.2930884500174354E-4</v>
      </c>
      <c r="K15" s="638">
        <f>GWEI!F$6</f>
        <v>0.36007827788649704</v>
      </c>
      <c r="L15" s="637">
        <f>I15*K15</f>
        <v>5450.8649706457927</v>
      </c>
      <c r="M15" s="466" t="str">
        <f t="shared" si="1"/>
        <v>USUARIOS / FAMILIAS</v>
      </c>
      <c r="N15" s="467"/>
      <c r="O15" s="467" t="s">
        <v>562</v>
      </c>
      <c r="P15" s="467" t="s">
        <v>575</v>
      </c>
    </row>
    <row r="16" spans="1:17" s="382" customFormat="1" ht="22.5" customHeight="1">
      <c r="A16" s="403">
        <v>12</v>
      </c>
      <c r="B16" s="473" t="s">
        <v>4193</v>
      </c>
      <c r="C16" s="403" t="s">
        <v>4135</v>
      </c>
      <c r="D16" s="403" t="s">
        <v>4136</v>
      </c>
      <c r="E16" s="403" t="s">
        <v>4137</v>
      </c>
      <c r="F16" s="403">
        <v>40</v>
      </c>
      <c r="G16" s="403"/>
      <c r="H16" s="403"/>
      <c r="I16" s="476">
        <f>DATOS!C79</f>
        <v>133895</v>
      </c>
      <c r="J16" s="472">
        <f t="shared" ref="J16:J20" si="3">I16/I$21</f>
        <v>2.9127234642296507E-3</v>
      </c>
      <c r="K16" s="639" t="s">
        <v>4190</v>
      </c>
      <c r="L16" s="637"/>
      <c r="M16" s="403" t="str">
        <f t="shared" si="1"/>
        <v>USUARIOS / FAMILIAS / AAPP</v>
      </c>
      <c r="N16" s="473"/>
      <c r="O16" s="473"/>
      <c r="P16" s="473"/>
    </row>
    <row r="17" spans="1:16" s="382" customFormat="1" ht="22.5" customHeight="1">
      <c r="A17" s="466">
        <v>13</v>
      </c>
      <c r="B17" s="473" t="s">
        <v>489</v>
      </c>
      <c r="C17" s="473" t="s">
        <v>490</v>
      </c>
      <c r="D17" s="403" t="s">
        <v>4136</v>
      </c>
      <c r="E17" s="466"/>
      <c r="F17" s="543"/>
      <c r="G17" s="466"/>
      <c r="H17" s="468"/>
      <c r="I17" s="475">
        <f>DATOS!C76</f>
        <v>0</v>
      </c>
      <c r="J17" s="472">
        <f t="shared" si="3"/>
        <v>0</v>
      </c>
      <c r="K17" s="638"/>
      <c r="L17" s="637">
        <f t="shared" ref="L17" si="4">I17*K17</f>
        <v>0</v>
      </c>
      <c r="M17" s="403" t="str">
        <f t="shared" si="1"/>
        <v>USUARIOS / FAMILIAS / AAPP</v>
      </c>
      <c r="N17" s="467"/>
      <c r="O17" s="467"/>
      <c r="P17" s="467"/>
    </row>
    <row r="18" spans="1:16" s="382" customFormat="1" ht="22.5" customHeight="1">
      <c r="A18" s="403">
        <v>14</v>
      </c>
      <c r="B18" s="473" t="s">
        <v>492</v>
      </c>
      <c r="C18" s="473" t="s">
        <v>545</v>
      </c>
      <c r="D18" s="403" t="s">
        <v>4136</v>
      </c>
      <c r="E18" s="403"/>
      <c r="F18" s="544"/>
      <c r="G18" s="403"/>
      <c r="H18" s="469"/>
      <c r="I18" s="476">
        <f>DATOS!C77</f>
        <v>467286</v>
      </c>
      <c r="J18" s="472">
        <f t="shared" si="3"/>
        <v>1.0165240649060955E-2</v>
      </c>
      <c r="K18" s="638" t="s">
        <v>4190</v>
      </c>
      <c r="L18" s="637"/>
      <c r="M18" s="403" t="str">
        <f t="shared" si="1"/>
        <v>USUARIOS / FAMILIAS / AAPP</v>
      </c>
      <c r="N18" s="473"/>
      <c r="O18" s="473"/>
      <c r="P18" s="473"/>
    </row>
    <row r="19" spans="1:16" s="382" customFormat="1" ht="22.5" customHeight="1">
      <c r="A19" s="639">
        <v>15</v>
      </c>
      <c r="B19" s="473" t="s">
        <v>493</v>
      </c>
      <c r="C19" s="473" t="s">
        <v>490</v>
      </c>
      <c r="D19" s="403" t="s">
        <v>4136</v>
      </c>
      <c r="E19" s="639"/>
      <c r="F19" s="646"/>
      <c r="G19" s="639"/>
      <c r="H19" s="647"/>
      <c r="I19" s="476">
        <f>DATOS!C78</f>
        <v>266897</v>
      </c>
      <c r="J19" s="472">
        <f t="shared" si="3"/>
        <v>5.8060207956421158E-3</v>
      </c>
      <c r="K19" s="638" t="s">
        <v>4190</v>
      </c>
      <c r="L19" s="637"/>
      <c r="M19" s="403" t="str">
        <f t="shared" si="1"/>
        <v>USUARIOS / FAMILIAS / AAPP</v>
      </c>
      <c r="N19" s="645"/>
      <c r="O19" s="645"/>
      <c r="P19" s="645"/>
    </row>
    <row r="20" spans="1:16" s="382" customFormat="1" ht="22.5" customHeight="1">
      <c r="A20" s="466">
        <v>16</v>
      </c>
      <c r="B20" s="473" t="s">
        <v>495</v>
      </c>
      <c r="C20" s="473" t="s">
        <v>577</v>
      </c>
      <c r="D20" s="403" t="s">
        <v>4136</v>
      </c>
      <c r="E20" s="466"/>
      <c r="F20" s="543"/>
      <c r="G20" s="466"/>
      <c r="H20" s="468"/>
      <c r="I20" s="475">
        <f>DATOS!C80</f>
        <v>107461</v>
      </c>
      <c r="J20" s="472">
        <f t="shared" si="3"/>
        <v>2.3376838282951752E-3</v>
      </c>
      <c r="K20" s="638">
        <f>GWEI!F$6</f>
        <v>0.36007827788649704</v>
      </c>
      <c r="L20" s="637"/>
      <c r="M20" s="403" t="str">
        <f t="shared" si="1"/>
        <v>USUARIOS / FAMILIAS / AAPP</v>
      </c>
      <c r="N20" s="467"/>
      <c r="O20" s="467"/>
      <c r="P20" s="467"/>
    </row>
    <row r="21" spans="1:16">
      <c r="I21" s="476">
        <f>SUM(I3:I20)</f>
        <v>45969005.174822591</v>
      </c>
      <c r="L21" s="637">
        <f>SUM(L3:L20)</f>
        <v>33035208.299250826</v>
      </c>
    </row>
    <row r="24" spans="1:16" ht="15">
      <c r="C24" s="457" t="s">
        <v>3392</v>
      </c>
      <c r="D24" s="457" t="s">
        <v>193</v>
      </c>
      <c r="E24" s="457" t="s">
        <v>3433</v>
      </c>
      <c r="F24" s="457" t="s">
        <v>215</v>
      </c>
      <c r="G24" s="457" t="s">
        <v>42</v>
      </c>
      <c r="I24" s="540">
        <f>+(I3*0.523)*(0.17+0.35)</f>
        <v>7938322.0280000009</v>
      </c>
      <c r="L24" s="540"/>
    </row>
    <row r="25" spans="1:16">
      <c r="C25" s="466">
        <f>I$7+I$8+I$9+I$11</f>
        <v>278530.5</v>
      </c>
      <c r="D25" s="466">
        <f>I$5+I$6+I$12+I$13+I$14+I$15+I16+I17+I18+I19+I20</f>
        <v>5147539</v>
      </c>
      <c r="E25" s="466">
        <f>I$5+I$6+I$12+I$13+I$14+I$15+I$3+I16+I17+I18+I19+I20</f>
        <v>34336839</v>
      </c>
      <c r="F25" s="466">
        <f>I$4</f>
        <v>10939941.674822589</v>
      </c>
      <c r="G25" s="466">
        <f>I$10</f>
        <v>413694</v>
      </c>
      <c r="H25" s="569"/>
    </row>
    <row r="26" spans="1:16">
      <c r="C26" s="478">
        <f>J7+J8+J9+J11</f>
        <v>6.0590934900751842E-3</v>
      </c>
      <c r="D26" s="477">
        <f>J5+J6+J12+J13+J14+J15</f>
        <v>9.0756804158229246E-2</v>
      </c>
      <c r="E26" s="478">
        <f>J3+J5+J6+J12+J13+J14+J15</f>
        <v>0.72573465258004133</v>
      </c>
      <c r="F26" s="478">
        <f>J4</f>
        <v>0.23798517355808343</v>
      </c>
      <c r="G26" s="478">
        <f>J10</f>
        <v>8.999411634572024E-3</v>
      </c>
      <c r="H26" s="641">
        <f>SUM(C26:G26)</f>
        <v>1.0695351354210012</v>
      </c>
    </row>
    <row r="27" spans="1:16" ht="15">
      <c r="B27" s="640" t="s">
        <v>4155</v>
      </c>
      <c r="C27" s="466">
        <f>L$7+L$8+L$9+L$11</f>
        <v>1500</v>
      </c>
      <c r="D27" s="466">
        <f>L$5+L$6+L$12+L$13+L$14+L$15+L16+L17+L18+L19+L20</f>
        <v>1436298.2387475539</v>
      </c>
      <c r="E27" s="466">
        <f>L$5+L$6+L$12+L$13+L$14+L$15+L$3+L16+L17+L18+L19+L20</f>
        <v>27414775.238747552</v>
      </c>
      <c r="F27" s="466">
        <f>L$4</f>
        <v>5469970.8374112947</v>
      </c>
      <c r="G27" s="466">
        <f>L$10</f>
        <v>148962.22309197651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</sheetPr>
  <dimension ref="A2:G16"/>
  <sheetViews>
    <sheetView showGridLines="0" workbookViewId="0">
      <selection activeCell="B2" sqref="B2:G10"/>
    </sheetView>
  </sheetViews>
  <sheetFormatPr baseColWidth="10" defaultColWidth="11.42578125" defaultRowHeight="12.75"/>
  <cols>
    <col min="1" max="1" width="11.42578125" style="404"/>
    <col min="2" max="2" width="41.42578125" style="382" customWidth="1"/>
    <col min="3" max="3" width="21" style="382" customWidth="1"/>
    <col min="4" max="4" width="19.7109375" style="382" customWidth="1"/>
    <col min="5" max="5" width="17.7109375" style="382" customWidth="1"/>
    <col min="6" max="6" width="5" style="382" customWidth="1"/>
    <col min="7" max="16384" width="11.42578125" style="382"/>
  </cols>
  <sheetData>
    <row r="2" spans="1:7" ht="24" customHeight="1">
      <c r="B2" s="456" t="s">
        <v>3439</v>
      </c>
      <c r="C2" s="456" t="s">
        <v>1</v>
      </c>
      <c r="D2" s="456" t="s">
        <v>3452</v>
      </c>
      <c r="E2" s="457" t="s">
        <v>576</v>
      </c>
      <c r="G2" s="642" t="s">
        <v>4192</v>
      </c>
    </row>
    <row r="3" spans="1:7" ht="20.25" customHeight="1">
      <c r="A3" s="405" t="s">
        <v>489</v>
      </c>
      <c r="B3" s="447" t="s">
        <v>489</v>
      </c>
      <c r="C3" s="448" t="s">
        <v>490</v>
      </c>
      <c r="D3" s="448" t="s">
        <v>3453</v>
      </c>
      <c r="E3" s="480">
        <f>DATOS!C76</f>
        <v>0</v>
      </c>
      <c r="F3" s="389" t="s">
        <v>506</v>
      </c>
      <c r="G3" s="480"/>
    </row>
    <row r="4" spans="1:7" ht="20.25" customHeight="1">
      <c r="A4" s="405" t="s">
        <v>492</v>
      </c>
      <c r="B4" s="449" t="s">
        <v>492</v>
      </c>
      <c r="C4" s="450" t="s">
        <v>545</v>
      </c>
      <c r="D4" s="451" t="s">
        <v>3453</v>
      </c>
      <c r="E4" s="481">
        <f>DATOS!C77</f>
        <v>467286</v>
      </c>
      <c r="F4" s="389" t="s">
        <v>507</v>
      </c>
      <c r="G4" s="481"/>
    </row>
    <row r="5" spans="1:7" ht="20.25" customHeight="1">
      <c r="A5" s="405" t="s">
        <v>493</v>
      </c>
      <c r="B5" s="460" t="s">
        <v>493</v>
      </c>
      <c r="C5" s="461" t="s">
        <v>490</v>
      </c>
      <c r="D5" s="448" t="s">
        <v>3453</v>
      </c>
      <c r="E5" s="482">
        <f>DATOS!C78</f>
        <v>266897</v>
      </c>
      <c r="F5" s="389" t="s">
        <v>508</v>
      </c>
      <c r="G5" s="482"/>
    </row>
    <row r="6" spans="1:7" ht="20.25" customHeight="1">
      <c r="A6" s="405" t="s">
        <v>495</v>
      </c>
      <c r="B6" s="447" t="s">
        <v>495</v>
      </c>
      <c r="C6" s="448" t="s">
        <v>577</v>
      </c>
      <c r="D6" s="448" t="s">
        <v>3453</v>
      </c>
      <c r="E6" s="483">
        <f>DATOS!C80</f>
        <v>107461</v>
      </c>
      <c r="F6" s="389" t="s">
        <v>509</v>
      </c>
      <c r="G6" s="483">
        <f>E6*GWEI!F6</f>
        <v>38694.371819960856</v>
      </c>
    </row>
    <row r="7" spans="1:7" ht="15">
      <c r="B7" s="449"/>
      <c r="C7" s="451"/>
      <c r="D7" s="451" t="s">
        <v>3453</v>
      </c>
      <c r="E7" s="451"/>
      <c r="G7" s="451"/>
    </row>
    <row r="9" spans="1:7" ht="15">
      <c r="A9" s="382"/>
      <c r="B9" s="456" t="s">
        <v>578</v>
      </c>
      <c r="C9" s="388">
        <f>SUM(E3:E6)</f>
        <v>841644</v>
      </c>
      <c r="D9" s="389" t="s">
        <v>4191</v>
      </c>
    </row>
    <row r="10" spans="1:7" ht="15">
      <c r="B10" s="643" t="s">
        <v>4155</v>
      </c>
      <c r="C10" s="644">
        <f>SUM(G3:G6)</f>
        <v>38694.371819960856</v>
      </c>
    </row>
    <row r="16" spans="1:7" ht="21.75" customHeight="1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-0.249977111117893"/>
  </sheetPr>
  <dimension ref="A1:P12"/>
  <sheetViews>
    <sheetView showGridLines="0" view="pageBreakPreview" topLeftCell="D1" zoomScaleNormal="150" zoomScaleSheetLayoutView="100" zoomScalePageLayoutView="150" workbookViewId="0">
      <selection activeCell="J1" sqref="J1:P12"/>
    </sheetView>
  </sheetViews>
  <sheetFormatPr baseColWidth="10" defaultRowHeight="15"/>
  <cols>
    <col min="2" max="2" width="13.7109375" customWidth="1"/>
    <col min="8" max="8" width="9" style="211" customWidth="1"/>
    <col min="9" max="16" width="11.42578125" style="211"/>
  </cols>
  <sheetData>
    <row r="1" spans="1:16" ht="21" customHeight="1">
      <c r="A1" s="56" t="s">
        <v>178</v>
      </c>
      <c r="L1" s="211" t="s">
        <v>4155</v>
      </c>
    </row>
    <row r="2" spans="1:16" s="211" customFormat="1" ht="21" customHeight="1">
      <c r="A2" s="56"/>
      <c r="C2" s="648">
        <v>1</v>
      </c>
      <c r="D2" s="648">
        <v>2</v>
      </c>
      <c r="E2" s="648">
        <v>3</v>
      </c>
      <c r="F2" s="648">
        <v>4</v>
      </c>
      <c r="G2" s="648">
        <v>5</v>
      </c>
      <c r="H2" s="648"/>
      <c r="I2" s="648"/>
      <c r="K2" s="648">
        <v>1</v>
      </c>
      <c r="L2" s="648">
        <v>2</v>
      </c>
      <c r="M2" s="648">
        <v>3</v>
      </c>
      <c r="N2" s="648">
        <v>4</v>
      </c>
      <c r="O2" s="648">
        <v>5</v>
      </c>
      <c r="P2" s="648"/>
    </row>
    <row r="3" spans="1:16" ht="21" customHeight="1">
      <c r="B3" s="84" t="s">
        <v>231</v>
      </c>
      <c r="C3" s="652">
        <v>0</v>
      </c>
      <c r="D3" s="652">
        <v>1</v>
      </c>
      <c r="E3" s="652">
        <v>4</v>
      </c>
      <c r="F3" s="652">
        <v>11</v>
      </c>
      <c r="G3" s="652">
        <v>4</v>
      </c>
      <c r="H3" s="651">
        <f>SUM(C3:G3)</f>
        <v>20</v>
      </c>
      <c r="I3" s="651"/>
      <c r="J3" s="84" t="s">
        <v>231</v>
      </c>
      <c r="K3" s="652">
        <v>0</v>
      </c>
      <c r="L3" s="652">
        <v>2</v>
      </c>
      <c r="M3" s="652">
        <v>8</v>
      </c>
      <c r="N3" s="652">
        <v>6</v>
      </c>
      <c r="O3" s="652">
        <v>4</v>
      </c>
      <c r="P3" s="651">
        <f>SUM(K3:O3)</f>
        <v>20</v>
      </c>
    </row>
    <row r="4" spans="1:16">
      <c r="B4" s="84" t="s">
        <v>227</v>
      </c>
      <c r="C4" s="653">
        <v>0</v>
      </c>
      <c r="D4" s="653">
        <v>0</v>
      </c>
      <c r="E4" s="653">
        <v>3</v>
      </c>
      <c r="F4" s="653">
        <v>13</v>
      </c>
      <c r="G4" s="653">
        <v>4</v>
      </c>
      <c r="H4" s="651">
        <f>SUM(C4:G4)</f>
        <v>20</v>
      </c>
      <c r="I4" s="649"/>
      <c r="J4" s="84" t="s">
        <v>227</v>
      </c>
      <c r="K4" s="653">
        <v>4</v>
      </c>
      <c r="L4" s="653">
        <v>2</v>
      </c>
      <c r="M4" s="653">
        <v>3</v>
      </c>
      <c r="N4" s="653">
        <v>5</v>
      </c>
      <c r="O4" s="653">
        <v>6</v>
      </c>
      <c r="P4" s="651">
        <f>SUM(K4:O4)</f>
        <v>20</v>
      </c>
    </row>
    <row r="5" spans="1:16">
      <c r="B5" s="84" t="s">
        <v>228</v>
      </c>
      <c r="C5" s="653">
        <v>0</v>
      </c>
      <c r="D5" s="653">
        <v>1</v>
      </c>
      <c r="E5" s="653">
        <v>7</v>
      </c>
      <c r="F5" s="653">
        <v>7</v>
      </c>
      <c r="G5" s="653">
        <v>5</v>
      </c>
      <c r="H5" s="651">
        <f t="shared" ref="H5:H7" si="0">SUM(C5:G5)</f>
        <v>20</v>
      </c>
      <c r="I5" s="649"/>
      <c r="J5" s="84" t="s">
        <v>228</v>
      </c>
      <c r="K5" s="653">
        <v>1</v>
      </c>
      <c r="L5" s="653">
        <v>1</v>
      </c>
      <c r="M5" s="653">
        <v>3</v>
      </c>
      <c r="N5" s="653">
        <v>9</v>
      </c>
      <c r="O5" s="653">
        <v>6</v>
      </c>
      <c r="P5" s="651">
        <f t="shared" ref="P5:P7" si="1">SUM(K5:O5)</f>
        <v>20</v>
      </c>
    </row>
    <row r="6" spans="1:16">
      <c r="B6" s="84" t="s">
        <v>229</v>
      </c>
      <c r="C6" s="653">
        <v>0</v>
      </c>
      <c r="D6" s="653">
        <v>0</v>
      </c>
      <c r="E6" s="653">
        <v>6</v>
      </c>
      <c r="F6" s="653">
        <v>11</v>
      </c>
      <c r="G6" s="653">
        <v>3</v>
      </c>
      <c r="H6" s="651">
        <f t="shared" si="0"/>
        <v>20</v>
      </c>
      <c r="I6" s="649"/>
      <c r="J6" s="84" t="s">
        <v>229</v>
      </c>
      <c r="K6" s="653">
        <v>0</v>
      </c>
      <c r="L6" s="653">
        <v>0</v>
      </c>
      <c r="M6" s="653">
        <v>5</v>
      </c>
      <c r="N6" s="653">
        <v>12</v>
      </c>
      <c r="O6" s="653">
        <v>3</v>
      </c>
      <c r="P6" s="651">
        <f t="shared" si="1"/>
        <v>20</v>
      </c>
    </row>
    <row r="7" spans="1:16">
      <c r="B7" s="84" t="s">
        <v>230</v>
      </c>
      <c r="C7" s="653">
        <v>0</v>
      </c>
      <c r="D7" s="653">
        <v>0</v>
      </c>
      <c r="E7" s="653">
        <v>5</v>
      </c>
      <c r="F7" s="653">
        <v>9</v>
      </c>
      <c r="G7" s="653">
        <v>6</v>
      </c>
      <c r="H7" s="651">
        <f t="shared" si="0"/>
        <v>20</v>
      </c>
      <c r="I7" s="649"/>
      <c r="J7" s="84" t="s">
        <v>230</v>
      </c>
      <c r="K7" s="653">
        <v>0</v>
      </c>
      <c r="L7" s="653">
        <v>0</v>
      </c>
      <c r="M7" s="653">
        <v>8</v>
      </c>
      <c r="N7" s="653">
        <v>6</v>
      </c>
      <c r="O7" s="653">
        <v>6</v>
      </c>
      <c r="P7" s="651">
        <f t="shared" si="1"/>
        <v>20</v>
      </c>
    </row>
    <row r="8" spans="1:16">
      <c r="C8" s="184">
        <f>SUM(C3:C7)</f>
        <v>0</v>
      </c>
      <c r="D8" s="184">
        <f t="shared" ref="D8:G8" si="2">SUM(D3:D7)</f>
        <v>2</v>
      </c>
      <c r="E8" s="184">
        <f t="shared" si="2"/>
        <v>25</v>
      </c>
      <c r="F8" s="184">
        <f t="shared" si="2"/>
        <v>51</v>
      </c>
      <c r="G8" s="184">
        <f t="shared" si="2"/>
        <v>22</v>
      </c>
      <c r="H8" s="184"/>
      <c r="I8" s="184"/>
      <c r="K8" s="184">
        <f>SUM(K3:K7)</f>
        <v>5</v>
      </c>
      <c r="L8" s="184">
        <f t="shared" ref="L8:O8" si="3">SUM(L3:L7)</f>
        <v>5</v>
      </c>
      <c r="M8" s="184">
        <f t="shared" si="3"/>
        <v>27</v>
      </c>
      <c r="N8" s="184">
        <f t="shared" si="3"/>
        <v>38</v>
      </c>
      <c r="O8" s="184">
        <f t="shared" si="3"/>
        <v>25</v>
      </c>
      <c r="P8" s="184"/>
    </row>
    <row r="9" spans="1:16">
      <c r="C9" s="184">
        <f>C8*1</f>
        <v>0</v>
      </c>
      <c r="D9" s="184">
        <f>D8*2</f>
        <v>4</v>
      </c>
      <c r="E9" s="184">
        <f>E8*3</f>
        <v>75</v>
      </c>
      <c r="F9" s="184">
        <f>F8*4</f>
        <v>204</v>
      </c>
      <c r="G9" s="184">
        <f>G8*5</f>
        <v>110</v>
      </c>
      <c r="H9" s="650">
        <f>SUM(C9:G9)</f>
        <v>393</v>
      </c>
      <c r="K9" s="184">
        <f>K8*1</f>
        <v>5</v>
      </c>
      <c r="L9" s="184">
        <f>L8*2</f>
        <v>10</v>
      </c>
      <c r="M9" s="184">
        <f>M8*3</f>
        <v>81</v>
      </c>
      <c r="N9" s="184">
        <f>N8*4</f>
        <v>152</v>
      </c>
      <c r="O9" s="184">
        <f>O8*5</f>
        <v>125</v>
      </c>
      <c r="P9" s="650">
        <f>SUM(K9:O9)</f>
        <v>373</v>
      </c>
    </row>
    <row r="10" spans="1:16">
      <c r="C10" s="654">
        <f>((C2*C8)+(D2*D8)+(E2*E8)+(F2*F8)+(G2*G8))/SUM(H3:H7)</f>
        <v>3.93</v>
      </c>
      <c r="H10" s="649">
        <f>H9/SUM(H3:H7)</f>
        <v>3.93</v>
      </c>
      <c r="K10" s="654">
        <f>((K2*K8)+(L2*L8)+(M2*M8)+(N2*N8)+(O2*O8))/SUM(P3:P7)</f>
        <v>3.73</v>
      </c>
      <c r="P10" s="649">
        <f>P9/SUM(P3:P7)</f>
        <v>3.73</v>
      </c>
    </row>
    <row r="11" spans="1:16" ht="15.75" thickBot="1"/>
    <row r="12" spans="1:16" ht="15.75" thickBot="1">
      <c r="J12" s="712">
        <f>K10/(2*C10)</f>
        <v>0.47455470737913485</v>
      </c>
      <c r="K12" s="655" t="s">
        <v>4194</v>
      </c>
    </row>
  </sheetData>
  <pageMargins left="0.7" right="0.7" top="0.75" bottom="0.75" header="0.3" footer="0.3"/>
  <pageSetup paperSize="9" scale="8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1">
    <tabColor theme="6" tint="-0.499984740745262"/>
  </sheetPr>
  <dimension ref="A1:N31"/>
  <sheetViews>
    <sheetView showGridLines="0" zoomScale="50" zoomScaleNormal="50" workbookViewId="0">
      <selection activeCell="A2" sqref="A2:J17"/>
    </sheetView>
  </sheetViews>
  <sheetFormatPr baseColWidth="10" defaultColWidth="21.7109375" defaultRowHeight="15"/>
  <cols>
    <col min="1" max="1" width="55.5703125" style="170" customWidth="1"/>
    <col min="2" max="2" width="16.42578125" customWidth="1"/>
    <col min="3" max="3" width="15" style="211" customWidth="1"/>
    <col min="4" max="4" width="14.42578125" customWidth="1"/>
    <col min="5" max="5" width="14" style="211" customWidth="1"/>
    <col min="6" max="6" width="15.140625" customWidth="1"/>
    <col min="7" max="7" width="13" customWidth="1"/>
    <col min="8" max="8" width="14.85546875" style="211" customWidth="1"/>
    <col min="9" max="9" width="14.140625" style="211" customWidth="1"/>
    <col min="10" max="10" width="13.7109375" style="211" customWidth="1"/>
    <col min="11" max="11" width="13.140625" customWidth="1"/>
    <col min="12" max="12" width="11.7109375" customWidth="1"/>
    <col min="13" max="13" width="8.7109375" customWidth="1"/>
  </cols>
  <sheetData>
    <row r="1" spans="1:14" ht="27.95" customHeight="1" thickBot="1">
      <c r="E1" s="169" t="s">
        <v>112</v>
      </c>
      <c r="J1" s="169"/>
    </row>
    <row r="2" spans="1:14" ht="26.25" customHeight="1" thickBot="1">
      <c r="A2" s="171"/>
      <c r="B2" s="155" t="s">
        <v>96</v>
      </c>
      <c r="C2" s="155" t="s">
        <v>3391</v>
      </c>
      <c r="D2" s="155" t="s">
        <v>215</v>
      </c>
      <c r="E2" s="155" t="s">
        <v>4129</v>
      </c>
      <c r="F2" s="155" t="s">
        <v>216</v>
      </c>
      <c r="G2" s="155" t="s">
        <v>217</v>
      </c>
      <c r="H2" s="155" t="s">
        <v>4130</v>
      </c>
      <c r="I2" s="155" t="s">
        <v>4133</v>
      </c>
      <c r="J2" s="155" t="s">
        <v>3380</v>
      </c>
      <c r="K2" s="440" t="s">
        <v>3379</v>
      </c>
      <c r="L2" s="156"/>
      <c r="M2" s="164" t="s">
        <v>3451</v>
      </c>
    </row>
    <row r="3" spans="1:14" ht="20.100000000000001" customHeight="1" thickBot="1">
      <c r="A3" s="172" t="s">
        <v>3440</v>
      </c>
      <c r="B3" s="177">
        <f>SUM(D3:J3)</f>
        <v>51646679</v>
      </c>
      <c r="C3" s="492">
        <f>'EVA_Aplicación del VAB'!G7</f>
        <v>21969974</v>
      </c>
      <c r="D3" s="157">
        <f>'VES-D'!C8</f>
        <v>15087050</v>
      </c>
      <c r="E3" s="157"/>
      <c r="F3" s="157">
        <f>'EVA_Aplicación del VAB'!B4</f>
        <v>31401108</v>
      </c>
      <c r="G3" s="157"/>
      <c r="H3" s="157">
        <f>'EVA_Aplicación del VAB'!B19</f>
        <v>5158521</v>
      </c>
      <c r="I3" s="157"/>
      <c r="J3" s="492"/>
      <c r="K3" s="493"/>
      <c r="L3" s="158" t="s">
        <v>218</v>
      </c>
      <c r="M3" s="496">
        <f>B3-SUM(D3:H3)</f>
        <v>0</v>
      </c>
    </row>
    <row r="4" spans="1:14" ht="20.100000000000001" customHeight="1" thickBot="1">
      <c r="A4" s="173" t="s">
        <v>3443</v>
      </c>
      <c r="B4" s="178">
        <f>'VES-IP'!C11</f>
        <v>16433281.94495758</v>
      </c>
      <c r="C4" s="159"/>
      <c r="D4" s="159">
        <f>'VES-IP'!C9</f>
        <v>8244725.6033184826</v>
      </c>
      <c r="E4" s="159"/>
      <c r="F4" s="159">
        <f>'VES-IP'!K5</f>
        <v>4621918.3507390125</v>
      </c>
      <c r="G4" s="159">
        <f>'VES-IP'!I5</f>
        <v>1667937.615745855</v>
      </c>
      <c r="H4" s="159">
        <f>'VES-IP'!J5-('VES-IP'!D5+'VES-IP'!H5+'VES-IP'!I5)</f>
        <v>1898700.3751542289</v>
      </c>
      <c r="I4" s="159"/>
      <c r="J4" s="159">
        <f>'VES-IP'!J5</f>
        <v>13581224.747898826</v>
      </c>
      <c r="K4" s="442">
        <f>'VES-IP'!C5</f>
        <v>47015246</v>
      </c>
      <c r="L4" s="160" t="s">
        <v>219</v>
      </c>
      <c r="M4" s="496">
        <f>B4-SUM(D4:H4)</f>
        <v>0</v>
      </c>
    </row>
    <row r="5" spans="1:14" ht="20.100000000000001" customHeight="1" thickBot="1">
      <c r="A5" s="174" t="s">
        <v>3444</v>
      </c>
      <c r="B5" s="179">
        <f>'VES-IP (I)'!C11</f>
        <v>1878751.9668985982</v>
      </c>
      <c r="C5" s="494"/>
      <c r="D5" s="161">
        <f>'VES-IP (I)'!C9</f>
        <v>942586.78793780145</v>
      </c>
      <c r="E5" s="161"/>
      <c r="F5" s="161">
        <f>'VES-IP (I)'!K5</f>
        <v>528405.59916031174</v>
      </c>
      <c r="G5" s="161">
        <f>'VES-IP (I)'!I5</f>
        <v>190688.69424516967</v>
      </c>
      <c r="H5" s="161">
        <f>'VES-IP (I)'!J5-('VES-IP (I)'!D5+'VES-IP (I)'!H5+'VES-IP (I)'!I5)</f>
        <v>217070.8855553153</v>
      </c>
      <c r="I5" s="161"/>
      <c r="J5" s="494">
        <f>'VES-IP (I)'!J5</f>
        <v>1552687.5759492547</v>
      </c>
      <c r="K5" s="495">
        <f>'VES-IP (I)'!C5</f>
        <v>5375066.6600000001</v>
      </c>
      <c r="L5" s="162" t="s">
        <v>220</v>
      </c>
      <c r="M5" s="496">
        <f>B5-SUM(D5:H5)</f>
        <v>0</v>
      </c>
    </row>
    <row r="6" spans="1:14" ht="20.100000000000001" customHeight="1" thickBot="1">
      <c r="A6" s="173" t="s">
        <v>3442</v>
      </c>
      <c r="B6" s="178">
        <f>'VES-IC'!D5</f>
        <v>31813597.498053078</v>
      </c>
      <c r="C6" s="159"/>
      <c r="D6" s="159">
        <f>'VES-IC'!C9</f>
        <v>11891117.982099054</v>
      </c>
      <c r="E6" s="159">
        <f>'VES-IC'!D5</f>
        <v>31813597.498053078</v>
      </c>
      <c r="F6" s="159">
        <f>'VES-IC'!J5</f>
        <v>10360174.491537362</v>
      </c>
      <c r="G6" s="159">
        <f>'VES-IC'!I5</f>
        <v>5007882.7164510135</v>
      </c>
      <c r="H6" s="159">
        <f>'VES-IC'!K5</f>
        <v>4554422.3079656474</v>
      </c>
      <c r="I6" s="159"/>
      <c r="J6" s="159"/>
      <c r="K6" s="442"/>
      <c r="L6" s="160" t="s">
        <v>221</v>
      </c>
      <c r="M6" s="496">
        <f>B6-SUM(D6:H6)</f>
        <v>-31813597.49805307</v>
      </c>
    </row>
    <row r="7" spans="1:14" s="211" customFormat="1" ht="20.100000000000001" customHeight="1" thickBot="1">
      <c r="A7" s="175" t="s">
        <v>4125</v>
      </c>
      <c r="B7" s="180">
        <f>SUM(B3:B6)</f>
        <v>101772310.40990926</v>
      </c>
      <c r="C7" s="180">
        <f t="shared" ref="C7:K7" si="0">SUM(C3:C6)</f>
        <v>21969974</v>
      </c>
      <c r="D7" s="180">
        <f t="shared" si="0"/>
        <v>36165480.373355336</v>
      </c>
      <c r="E7" s="180">
        <f t="shared" si="0"/>
        <v>31813597.498053078</v>
      </c>
      <c r="F7" s="180">
        <f t="shared" si="0"/>
        <v>46911606.441436686</v>
      </c>
      <c r="G7" s="180">
        <f t="shared" si="0"/>
        <v>6866509.0264420379</v>
      </c>
      <c r="H7" s="180">
        <f t="shared" si="0"/>
        <v>11828714.568675192</v>
      </c>
      <c r="I7" s="180">
        <f t="shared" si="0"/>
        <v>0</v>
      </c>
      <c r="J7" s="180">
        <f t="shared" si="0"/>
        <v>15133912.323848082</v>
      </c>
      <c r="K7" s="180">
        <f t="shared" si="0"/>
        <v>52390312.659999996</v>
      </c>
      <c r="L7" s="163" t="s">
        <v>18</v>
      </c>
      <c r="M7" s="496"/>
    </row>
    <row r="8" spans="1:14" s="211" customFormat="1" ht="20.100000000000001" customHeight="1" thickBot="1">
      <c r="A8" s="173" t="s">
        <v>4124</v>
      </c>
      <c r="B8" s="178">
        <f>'DATOS PyG'!B5</f>
        <v>74179988</v>
      </c>
      <c r="C8" s="159"/>
      <c r="D8" s="159"/>
      <c r="E8" s="159">
        <f>B8</f>
        <v>74179988</v>
      </c>
      <c r="F8" s="159"/>
      <c r="G8" s="159"/>
      <c r="H8" s="159"/>
      <c r="I8" s="159"/>
      <c r="J8" s="159"/>
      <c r="K8" s="442"/>
      <c r="L8" s="160"/>
      <c r="M8" s="496"/>
    </row>
    <row r="9" spans="1:14" ht="20.100000000000001" customHeight="1" thickBot="1">
      <c r="A9" s="175" t="s">
        <v>4127</v>
      </c>
      <c r="B9" s="180">
        <f>B8</f>
        <v>74179988</v>
      </c>
      <c r="C9" s="180">
        <f t="shared" ref="C9:K9" si="1">C8</f>
        <v>0</v>
      </c>
      <c r="D9" s="180">
        <f t="shared" si="1"/>
        <v>0</v>
      </c>
      <c r="E9" s="180">
        <f t="shared" si="1"/>
        <v>74179988</v>
      </c>
      <c r="F9" s="180">
        <f t="shared" si="1"/>
        <v>0</v>
      </c>
      <c r="G9" s="180">
        <f t="shared" si="1"/>
        <v>0</v>
      </c>
      <c r="H9" s="180">
        <f t="shared" si="1"/>
        <v>0</v>
      </c>
      <c r="I9" s="180">
        <f t="shared" si="1"/>
        <v>0</v>
      </c>
      <c r="J9" s="180">
        <f t="shared" si="1"/>
        <v>0</v>
      </c>
      <c r="K9" s="180">
        <f t="shared" si="1"/>
        <v>0</v>
      </c>
      <c r="L9" s="163" t="s">
        <v>18</v>
      </c>
      <c r="M9" s="496">
        <f>B9-SUM(D9:H9)</f>
        <v>0</v>
      </c>
      <c r="N9" s="144"/>
    </row>
    <row r="10" spans="1:14" s="211" customFormat="1" ht="20.100000000000001" customHeight="1" thickBot="1">
      <c r="A10" s="172" t="s">
        <v>3389</v>
      </c>
      <c r="B10" s="177">
        <f>'A-A'!J8</f>
        <v>5841337</v>
      </c>
      <c r="C10" s="157"/>
      <c r="D10" s="157">
        <f>'A-A'!J8</f>
        <v>5841337</v>
      </c>
      <c r="E10" s="157"/>
      <c r="F10" s="157"/>
      <c r="G10" s="157"/>
      <c r="H10" s="157"/>
      <c r="I10" s="157"/>
      <c r="J10" s="157"/>
      <c r="K10" s="441"/>
      <c r="L10" s="158"/>
    </row>
    <row r="11" spans="1:14" s="211" customFormat="1" ht="20.100000000000001" customHeight="1" thickBot="1">
      <c r="A11" s="173" t="s">
        <v>3390</v>
      </c>
      <c r="B11" s="178">
        <f>'VSE-F'!I21</f>
        <v>45969005.174822591</v>
      </c>
      <c r="C11" s="159">
        <f>'VSE-F'!D25+'VSE-F'!E25</f>
        <v>39484378</v>
      </c>
      <c r="D11" s="159">
        <f>'VSE-F'!F25</f>
        <v>10939941.674822589</v>
      </c>
      <c r="E11" s="159"/>
      <c r="F11" s="159">
        <f>'VSE-F'!G25</f>
        <v>413694</v>
      </c>
      <c r="G11" s="159"/>
      <c r="H11" s="159"/>
      <c r="I11" s="159">
        <f>'VSE-F'!C25</f>
        <v>278530.5</v>
      </c>
      <c r="J11" s="159"/>
      <c r="K11" s="442"/>
      <c r="L11" s="160"/>
    </row>
    <row r="12" spans="1:14" s="211" customFormat="1" ht="20.100000000000001" customHeight="1" thickBot="1">
      <c r="A12" s="172" t="s">
        <v>4133</v>
      </c>
      <c r="B12" s="177">
        <f>'VSE-F'!C25</f>
        <v>278530.5</v>
      </c>
      <c r="C12" s="157"/>
      <c r="D12" s="157"/>
      <c r="E12" s="157"/>
      <c r="F12" s="157"/>
      <c r="G12" s="157"/>
      <c r="H12" s="157"/>
      <c r="I12" s="157">
        <f>'VS-EX'!C9</f>
        <v>841644</v>
      </c>
      <c r="J12" s="157"/>
      <c r="K12" s="441"/>
      <c r="L12" s="158"/>
    </row>
    <row r="13" spans="1:14" s="211" customFormat="1" ht="20.100000000000001" customHeight="1" thickBot="1">
      <c r="A13" s="175" t="s">
        <v>4126</v>
      </c>
      <c r="B13" s="180">
        <f>SUM(B10:B12)</f>
        <v>52088872.674822591</v>
      </c>
      <c r="C13" s="180">
        <f t="shared" ref="C13:K13" si="2">SUM(C10:C12)</f>
        <v>39484378</v>
      </c>
      <c r="D13" s="180">
        <f t="shared" si="2"/>
        <v>16781278.674822591</v>
      </c>
      <c r="E13" s="180">
        <f t="shared" si="2"/>
        <v>0</v>
      </c>
      <c r="F13" s="180">
        <f t="shared" si="2"/>
        <v>413694</v>
      </c>
      <c r="G13" s="180">
        <f t="shared" si="2"/>
        <v>0</v>
      </c>
      <c r="H13" s="180">
        <f t="shared" si="2"/>
        <v>0</v>
      </c>
      <c r="I13" s="180">
        <f t="shared" si="2"/>
        <v>1120174.5</v>
      </c>
      <c r="J13" s="180">
        <f t="shared" si="2"/>
        <v>0</v>
      </c>
      <c r="K13" s="180">
        <f t="shared" si="2"/>
        <v>0</v>
      </c>
      <c r="L13" s="163" t="s">
        <v>222</v>
      </c>
      <c r="M13" s="497">
        <f>(SUM(C13:H13))/B13</f>
        <v>1.0881278047359015</v>
      </c>
    </row>
    <row r="14" spans="1:14" ht="20.100000000000001" customHeight="1" thickBot="1">
      <c r="A14" s="175" t="s">
        <v>4128</v>
      </c>
      <c r="B14" s="180">
        <f>B9+B13</f>
        <v>126268860.6748226</v>
      </c>
      <c r="C14" s="180">
        <f t="shared" ref="C14:K14" si="3">C9+C13</f>
        <v>39484378</v>
      </c>
      <c r="D14" s="180">
        <f t="shared" si="3"/>
        <v>16781278.674822591</v>
      </c>
      <c r="E14" s="180">
        <f t="shared" si="3"/>
        <v>74179988</v>
      </c>
      <c r="F14" s="180">
        <f t="shared" si="3"/>
        <v>413694</v>
      </c>
      <c r="G14" s="180">
        <f t="shared" si="3"/>
        <v>0</v>
      </c>
      <c r="H14" s="180">
        <f t="shared" si="3"/>
        <v>0</v>
      </c>
      <c r="I14" s="180">
        <f t="shared" si="3"/>
        <v>1120174.5</v>
      </c>
      <c r="J14" s="180">
        <f t="shared" si="3"/>
        <v>0</v>
      </c>
      <c r="K14" s="180">
        <f t="shared" si="3"/>
        <v>0</v>
      </c>
      <c r="L14" s="163" t="s">
        <v>222</v>
      </c>
      <c r="M14" s="164" t="s">
        <v>3454</v>
      </c>
    </row>
    <row r="15" spans="1:14" ht="20.100000000000001" customHeight="1" thickBot="1">
      <c r="A15" s="176" t="s">
        <v>223</v>
      </c>
      <c r="B15" s="181">
        <f t="shared" ref="B15:K15" si="4">B14+B7</f>
        <v>228041171.08473188</v>
      </c>
      <c r="C15" s="181">
        <f t="shared" si="4"/>
        <v>61454352</v>
      </c>
      <c r="D15" s="181">
        <f t="shared" si="4"/>
        <v>52946759.048177928</v>
      </c>
      <c r="E15" s="181">
        <f t="shared" si="4"/>
        <v>105993585.49805307</v>
      </c>
      <c r="F15" s="181">
        <f t="shared" si="4"/>
        <v>47325300.441436686</v>
      </c>
      <c r="G15" s="181">
        <f t="shared" si="4"/>
        <v>6866509.0264420379</v>
      </c>
      <c r="H15" s="181">
        <f t="shared" si="4"/>
        <v>11828714.568675192</v>
      </c>
      <c r="I15" s="181">
        <f t="shared" si="4"/>
        <v>1120174.5</v>
      </c>
      <c r="J15" s="181">
        <f t="shared" si="4"/>
        <v>15133912.323848082</v>
      </c>
      <c r="K15" s="181">
        <f t="shared" si="4"/>
        <v>52390312.659999996</v>
      </c>
      <c r="L15" s="164" t="s">
        <v>202</v>
      </c>
      <c r="M15" s="497">
        <f>(SUM(C15:I15))/B15</f>
        <v>1.2608924682988369</v>
      </c>
    </row>
    <row r="16" spans="1:14" ht="17.45" customHeight="1" thickBot="1">
      <c r="A16" s="173" t="s">
        <v>224</v>
      </c>
      <c r="B16" s="165">
        <f>(B15/2)*((V.EMOC!C10-3)/2)</f>
        <v>53019572.27720017</v>
      </c>
      <c r="C16" s="165">
        <f>($B16/$B15)*C15</f>
        <v>14288136.840000002</v>
      </c>
      <c r="D16" s="165">
        <f>($B16/$B15)*D15</f>
        <v>12310121.47870137</v>
      </c>
      <c r="E16" s="165">
        <f>($B16/$B15)*E15</f>
        <v>24643508.628297344</v>
      </c>
      <c r="F16" s="165">
        <f>($B16/$B15)*F15</f>
        <v>11003132.352634031</v>
      </c>
      <c r="G16" s="165">
        <f>($B16/$B15)*G15</f>
        <v>1596463.3486477742</v>
      </c>
      <c r="H16" s="165">
        <f>(G16/G15)*H15</f>
        <v>2750176.1372169829</v>
      </c>
      <c r="I16" s="165">
        <f t="shared" ref="I16:K16" si="5">(H16/H15)*I15</f>
        <v>260440.57125000007</v>
      </c>
      <c r="J16" s="165">
        <f t="shared" si="5"/>
        <v>3518634.61529468</v>
      </c>
      <c r="K16" s="165">
        <f t="shared" si="5"/>
        <v>12180747.693450002</v>
      </c>
      <c r="L16" s="160" t="s">
        <v>225</v>
      </c>
    </row>
    <row r="17" spans="1:13" ht="20.100000000000001" customHeight="1" thickBot="1">
      <c r="A17" s="176" t="s">
        <v>226</v>
      </c>
      <c r="B17" s="166">
        <f t="shared" ref="B17:K17" si="6">B15+B16</f>
        <v>281060743.36193204</v>
      </c>
      <c r="C17" s="166">
        <f t="shared" si="6"/>
        <v>75742488.840000004</v>
      </c>
      <c r="D17" s="166">
        <f t="shared" si="6"/>
        <v>65256880.526879296</v>
      </c>
      <c r="E17" s="166">
        <f t="shared" si="6"/>
        <v>130637094.12635042</v>
      </c>
      <c r="F17" s="166">
        <f t="shared" si="6"/>
        <v>58328432.794070721</v>
      </c>
      <c r="G17" s="166">
        <f t="shared" si="6"/>
        <v>8462972.375089813</v>
      </c>
      <c r="H17" s="166">
        <f t="shared" si="6"/>
        <v>14578890.705892175</v>
      </c>
      <c r="I17" s="166">
        <f t="shared" si="6"/>
        <v>1380615.07125</v>
      </c>
      <c r="J17" s="166">
        <f t="shared" si="6"/>
        <v>18652546.939142764</v>
      </c>
      <c r="K17" s="166">
        <f t="shared" si="6"/>
        <v>64571060.35345</v>
      </c>
      <c r="L17" s="164" t="s">
        <v>117</v>
      </c>
      <c r="M17" s="497">
        <f>(SUM(C17:I17))/B17</f>
        <v>1.2608924682988369</v>
      </c>
    </row>
    <row r="18" spans="1:13" s="2" customFormat="1" ht="20.100000000000001" customHeight="1"/>
    <row r="19" spans="1:13" s="2" customFormat="1" ht="27" customHeight="1"/>
    <row r="20" spans="1:13" ht="20.100000000000001" customHeight="1"/>
    <row r="21" spans="1:13" ht="20.100000000000001" customHeight="1"/>
    <row r="22" spans="1:13" ht="20.100000000000001" customHeight="1"/>
    <row r="23" spans="1:13" ht="20.100000000000001" customHeight="1"/>
    <row r="24" spans="1:13" ht="20.100000000000001" customHeight="1"/>
    <row r="25" spans="1:13" ht="20.100000000000001" customHeight="1"/>
    <row r="26" spans="1:13" s="211" customFormat="1" ht="20.100000000000001" customHeight="1"/>
    <row r="27" spans="1:13" ht="21" customHeight="1"/>
    <row r="28" spans="1:13" ht="19.350000000000001" customHeight="1"/>
    <row r="29" spans="1:13" ht="18.399999999999999" customHeight="1"/>
    <row r="30" spans="1:13" ht="18.95" customHeight="1"/>
    <row r="31" spans="1:13" ht="18.75" customHeight="1"/>
  </sheetData>
  <phoneticPr fontId="12" type="noConversion"/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G98"/>
  <sheetViews>
    <sheetView showGridLines="0" view="pageBreakPreview" topLeftCell="B52" zoomScaleSheetLayoutView="100" workbookViewId="0">
      <selection activeCell="I12" sqref="I12"/>
    </sheetView>
  </sheetViews>
  <sheetFormatPr baseColWidth="10" defaultColWidth="11.42578125" defaultRowHeight="15"/>
  <cols>
    <col min="1" max="1" width="7.42578125" style="46" customWidth="1"/>
    <col min="2" max="2" width="31.42578125" style="46" bestFit="1" customWidth="1"/>
    <col min="3" max="3" width="4.7109375" style="46" bestFit="1" customWidth="1"/>
    <col min="4" max="4" width="48.42578125" style="46" customWidth="1"/>
    <col min="5" max="5" width="32.42578125" style="46" customWidth="1"/>
    <col min="6" max="16384" width="11.42578125" style="46"/>
  </cols>
  <sheetData>
    <row r="1" spans="1:7" ht="27.75" thickBot="1">
      <c r="A1" s="45" t="s">
        <v>127</v>
      </c>
      <c r="D1" s="58"/>
      <c r="E1" s="83" t="s">
        <v>159</v>
      </c>
    </row>
    <row r="2" spans="1:7" ht="27.75" thickBot="1">
      <c r="A2" s="45"/>
      <c r="D2" s="58"/>
      <c r="E2" s="83" t="s">
        <v>154</v>
      </c>
    </row>
    <row r="3" spans="1:7" ht="15.75" thickBot="1"/>
    <row r="4" spans="1:7" s="47" customFormat="1">
      <c r="A4" s="65"/>
      <c r="B4" s="66"/>
      <c r="C4" s="66"/>
      <c r="D4" s="66"/>
      <c r="E4" s="67"/>
    </row>
    <row r="5" spans="1:7" s="47" customFormat="1" ht="30.75">
      <c r="A5" s="68"/>
      <c r="B5" s="48" t="s">
        <v>125</v>
      </c>
      <c r="C5" s="19"/>
      <c r="D5" s="54" t="s">
        <v>249</v>
      </c>
      <c r="E5" s="69" t="s">
        <v>137</v>
      </c>
      <c r="G5" s="57"/>
    </row>
    <row r="6" spans="1:7" s="47" customFormat="1" ht="9" customHeight="1">
      <c r="A6" s="70"/>
      <c r="B6" s="20"/>
      <c r="C6" s="21"/>
      <c r="D6" s="49"/>
      <c r="E6" s="71"/>
    </row>
    <row r="7" spans="1:7" s="47" customFormat="1" ht="17.25">
      <c r="A7" s="72"/>
      <c r="B7" s="48" t="s">
        <v>100</v>
      </c>
      <c r="C7" s="22"/>
      <c r="D7" s="54"/>
      <c r="E7" s="69" t="s">
        <v>135</v>
      </c>
    </row>
    <row r="8" spans="1:7" s="47" customFormat="1" ht="9" customHeight="1">
      <c r="A8" s="72"/>
      <c r="B8" s="50"/>
      <c r="C8" s="21"/>
      <c r="D8" s="49"/>
      <c r="E8" s="71"/>
    </row>
    <row r="9" spans="1:7" s="47" customFormat="1" ht="30">
      <c r="A9" s="72"/>
      <c r="B9" s="48" t="s">
        <v>126</v>
      </c>
      <c r="C9" s="22"/>
      <c r="D9" s="54">
        <v>2017</v>
      </c>
      <c r="E9" s="69" t="s">
        <v>136</v>
      </c>
    </row>
    <row r="10" spans="1:7" s="47" customFormat="1" ht="9" customHeight="1">
      <c r="A10" s="72"/>
      <c r="B10" s="50"/>
      <c r="C10" s="51"/>
      <c r="D10" s="51"/>
      <c r="E10" s="73"/>
    </row>
    <row r="11" spans="1:7" s="47" customFormat="1" ht="45">
      <c r="A11" s="72"/>
      <c r="B11" s="48" t="s">
        <v>152</v>
      </c>
      <c r="C11" s="22"/>
      <c r="D11" s="54"/>
      <c r="E11" s="69" t="s">
        <v>153</v>
      </c>
    </row>
    <row r="12" spans="1:7" s="47" customFormat="1" ht="16.5">
      <c r="A12" s="74"/>
      <c r="B12" s="23"/>
      <c r="C12" s="24"/>
      <c r="D12" s="25"/>
      <c r="E12" s="75"/>
    </row>
    <row r="13" spans="1:7" s="47" customFormat="1" ht="15.75">
      <c r="A13" s="76"/>
      <c r="B13" s="44" t="s">
        <v>165</v>
      </c>
      <c r="C13" s="26"/>
      <c r="D13" s="25"/>
      <c r="E13" s="75"/>
    </row>
    <row r="14" spans="1:7" s="47" customFormat="1" ht="15.75">
      <c r="A14" s="76"/>
      <c r="B14" s="44" t="s">
        <v>166</v>
      </c>
      <c r="C14" s="26"/>
      <c r="D14" s="25"/>
      <c r="E14" s="75"/>
    </row>
    <row r="15" spans="1:7" s="47" customFormat="1" ht="15.75">
      <c r="A15" s="76"/>
      <c r="B15" s="44"/>
      <c r="C15" s="26"/>
      <c r="D15" s="25"/>
      <c r="E15" s="75"/>
    </row>
    <row r="16" spans="1:7" s="47" customFormat="1" ht="15.75">
      <c r="A16" s="77"/>
      <c r="B16" s="44"/>
      <c r="C16" s="44"/>
      <c r="D16" s="122" t="s">
        <v>150</v>
      </c>
      <c r="E16" s="78"/>
    </row>
    <row r="17" spans="1:5" s="47" customFormat="1" ht="9" customHeight="1">
      <c r="A17" s="77"/>
      <c r="B17" s="44"/>
      <c r="C17" s="44"/>
      <c r="D17" s="123"/>
      <c r="E17" s="78"/>
    </row>
    <row r="18" spans="1:5" s="47" customFormat="1" ht="15.75">
      <c r="A18" s="76"/>
      <c r="B18" s="44"/>
      <c r="C18" s="44"/>
      <c r="D18" s="122" t="s">
        <v>141</v>
      </c>
      <c r="E18" s="75"/>
    </row>
    <row r="19" spans="1:5" s="47" customFormat="1" ht="9" customHeight="1">
      <c r="A19" s="76"/>
      <c r="B19" s="44"/>
      <c r="C19" s="44"/>
      <c r="D19" s="123"/>
      <c r="E19" s="75"/>
    </row>
    <row r="20" spans="1:5" s="47" customFormat="1" ht="15.75">
      <c r="A20" s="76"/>
      <c r="B20" s="44"/>
      <c r="C20" s="44"/>
      <c r="D20" s="124" t="s">
        <v>113</v>
      </c>
      <c r="E20" s="75"/>
    </row>
    <row r="21" spans="1:5" s="47" customFormat="1" ht="9" customHeight="1" thickBot="1">
      <c r="A21" s="79"/>
      <c r="B21" s="80"/>
      <c r="C21" s="81"/>
      <c r="D21" s="80"/>
      <c r="E21" s="82"/>
    </row>
    <row r="22" spans="1:5" s="63" customFormat="1" ht="15.75" thickBot="1">
      <c r="A22" s="59"/>
      <c r="B22" s="60"/>
      <c r="C22" s="61"/>
      <c r="D22" s="62"/>
      <c r="E22" s="62"/>
    </row>
    <row r="23" spans="1:5" ht="27.75" thickBot="1">
      <c r="A23" s="52" t="s">
        <v>157</v>
      </c>
      <c r="E23" s="83" t="s">
        <v>155</v>
      </c>
    </row>
    <row r="24" spans="1:5">
      <c r="A24" s="53"/>
      <c r="B24" s="53" t="s">
        <v>138</v>
      </c>
    </row>
    <row r="25" spans="1:5">
      <c r="A25" s="53">
        <v>1</v>
      </c>
      <c r="B25" s="53" t="s">
        <v>156</v>
      </c>
    </row>
    <row r="26" spans="1:5">
      <c r="A26" s="53">
        <v>2</v>
      </c>
      <c r="B26" s="53" t="s">
        <v>140</v>
      </c>
    </row>
    <row r="27" spans="1:5">
      <c r="A27" s="53">
        <v>3</v>
      </c>
      <c r="B27" s="53" t="s">
        <v>142</v>
      </c>
    </row>
    <row r="33" spans="1:5" ht="15.75" thickBot="1">
      <c r="A33" s="55"/>
      <c r="B33" s="55"/>
      <c r="C33" s="55"/>
      <c r="D33" s="55"/>
      <c r="E33" s="55"/>
    </row>
    <row r="34" spans="1:5" ht="27.75" thickBot="1">
      <c r="A34" s="52" t="s">
        <v>151</v>
      </c>
      <c r="E34" s="83" t="s">
        <v>155</v>
      </c>
    </row>
    <row r="35" spans="1:5">
      <c r="A35" s="53" t="s">
        <v>143</v>
      </c>
    </row>
    <row r="36" spans="1:5">
      <c r="A36" s="53">
        <v>1</v>
      </c>
      <c r="B36" s="53" t="s">
        <v>139</v>
      </c>
    </row>
    <row r="37" spans="1:5">
      <c r="A37" s="53">
        <v>2</v>
      </c>
      <c r="B37" s="53" t="s">
        <v>140</v>
      </c>
    </row>
    <row r="38" spans="1:5">
      <c r="A38" s="53">
        <v>3</v>
      </c>
      <c r="B38" s="53" t="s">
        <v>142</v>
      </c>
    </row>
    <row r="61" spans="1:5" ht="15.75" thickBot="1"/>
    <row r="62" spans="1:5" ht="27.75" thickBot="1">
      <c r="A62" s="52" t="s">
        <v>160</v>
      </c>
      <c r="E62" s="83" t="s">
        <v>155</v>
      </c>
    </row>
    <row r="63" spans="1:5" ht="9" customHeight="1"/>
    <row r="64" spans="1:5">
      <c r="A64" s="53" t="s">
        <v>167</v>
      </c>
    </row>
    <row r="65" spans="1:1">
      <c r="A65" s="53" t="s">
        <v>168</v>
      </c>
    </row>
    <row r="97" spans="5:5" ht="15.75" thickBot="1"/>
    <row r="98" spans="5:5" ht="25.5" customHeight="1" thickBot="1">
      <c r="E98" s="83" t="s">
        <v>154</v>
      </c>
    </row>
  </sheetData>
  <hyperlinks>
    <hyperlink ref="E1" location="INDICE!A1" display="VOLVER AL ÍNDICE" xr:uid="{00000000-0004-0000-0200-000000000000}"/>
    <hyperlink ref="E34" location="'0.FICHA'!A4:E19" display="SUBIR" xr:uid="{00000000-0004-0000-0200-000001000000}"/>
    <hyperlink ref="E23" location="'0.FICHA'!A4:E19" display="SUBIR" xr:uid="{00000000-0004-0000-0200-000002000000}"/>
    <hyperlink ref="E2" location="'1.DATOS'!A1" display="SIGUIENTE" xr:uid="{00000000-0004-0000-0200-000003000000}"/>
    <hyperlink ref="E98" location="'1.DATOS'!A1" display="SIGUIENTE" xr:uid="{00000000-0004-0000-0200-000004000000}"/>
    <hyperlink ref="E62" location="'0.FICHA'!A4:E19" display="SUBIR" xr:uid="{00000000-0004-0000-0200-000005000000}"/>
    <hyperlink ref="D16" location="'0.FICHA'!A33:E60" display="¿QUÉ ES GEACCOUNTING?" xr:uid="{00000000-0004-0000-0200-000006000000}"/>
    <hyperlink ref="D18" location="'0.FICHA'!A21" display="FICHA DE SOCIO" xr:uid="{00000000-0004-0000-0200-000007000000}"/>
    <hyperlink ref="D20" location="'0.FICHA'!A62" display="CERTIFICACIÓN" xr:uid="{00000000-0004-0000-0200-000008000000}"/>
  </hyperlinks>
  <pageMargins left="0.7" right="0.7" top="0.75" bottom="0.75" header="0.3" footer="0.3"/>
  <pageSetup paperSize="9" scale="69" orientation="portrait" r:id="rId1"/>
  <rowBreaks count="1" manualBreakCount="1">
    <brk id="61" max="4" man="1"/>
  </rowBreaks>
  <drawing r:id="rId2"/>
  <legacyDrawing r:id="rId3"/>
  <oleObjects>
    <mc:AlternateContent xmlns:mc="http://schemas.openxmlformats.org/markup-compatibility/2006">
      <mc:Choice Requires="x14">
        <oleObject progId="Acrobat Document" shapeId="30722" r:id="rId4">
          <objectPr defaultSize="0" autoPict="0" r:id="rId5">
            <anchor moveWithCells="1">
              <from>
                <xdr:col>0</xdr:col>
                <xdr:colOff>152400</xdr:colOff>
                <xdr:row>38</xdr:row>
                <xdr:rowOff>123825</xdr:rowOff>
              </from>
              <to>
                <xdr:col>3</xdr:col>
                <xdr:colOff>2552700</xdr:colOff>
                <xdr:row>60</xdr:row>
                <xdr:rowOff>104775</xdr:rowOff>
              </to>
            </anchor>
          </objectPr>
        </oleObject>
      </mc:Choice>
      <mc:Fallback>
        <oleObject progId="Acrobat Document" shapeId="30722" r:id="rId4"/>
      </mc:Fallback>
    </mc:AlternateContent>
    <mc:AlternateContent xmlns:mc="http://schemas.openxmlformats.org/markup-compatibility/2006">
      <mc:Choice Requires="x14">
        <oleObject progId="Documento" dvAspect="DVASPECT_ICON" shapeId="30724" r:id="rId6">
          <objectPr defaultSize="0" r:id="rId7">
            <anchor moveWithCells="1">
              <from>
                <xdr:col>0</xdr:col>
                <xdr:colOff>333375</xdr:colOff>
                <xdr:row>28</xdr:row>
                <xdr:rowOff>9525</xdr:rowOff>
              </from>
              <to>
                <xdr:col>1</xdr:col>
                <xdr:colOff>676275</xdr:colOff>
                <xdr:row>31</xdr:row>
                <xdr:rowOff>104775</xdr:rowOff>
              </to>
            </anchor>
          </objectPr>
        </oleObject>
      </mc:Choice>
      <mc:Fallback>
        <oleObject progId="Documento" dvAspect="DVASPECT_ICON" shapeId="30724" r:id="rId6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-0.249977111117893"/>
  </sheetPr>
  <dimension ref="A1:J47"/>
  <sheetViews>
    <sheetView zoomScale="80" zoomScaleNormal="80" workbookViewId="0">
      <selection activeCell="A2" sqref="A2:H47"/>
    </sheetView>
  </sheetViews>
  <sheetFormatPr baseColWidth="10" defaultRowHeight="15"/>
  <cols>
    <col min="1" max="1" width="57.85546875" customWidth="1"/>
    <col min="2" max="2" width="15.7109375" customWidth="1"/>
    <col min="3" max="3" width="16" customWidth="1"/>
    <col min="4" max="4" width="14.42578125" customWidth="1"/>
    <col min="5" max="5" width="14.42578125" hidden="1" customWidth="1"/>
    <col min="6" max="6" width="15.140625" customWidth="1"/>
    <col min="7" max="7" width="13" customWidth="1"/>
    <col min="8" max="8" width="14.140625" customWidth="1"/>
    <col min="9" max="9" width="11.7109375" customWidth="1"/>
    <col min="10" max="10" width="8.7109375" customWidth="1"/>
  </cols>
  <sheetData>
    <row r="1" spans="1:10" ht="29.25" thickBot="1">
      <c r="A1" s="170"/>
      <c r="B1" s="211"/>
      <c r="C1" s="211"/>
      <c r="D1" s="211"/>
      <c r="E1" s="169" t="s">
        <v>112</v>
      </c>
      <c r="F1" s="211"/>
      <c r="G1" s="211"/>
      <c r="H1" s="211"/>
      <c r="I1" s="211"/>
      <c r="J1" s="211"/>
    </row>
    <row r="2" spans="1:10" ht="30.75" thickBot="1">
      <c r="A2" s="171"/>
      <c r="B2" s="155" t="s">
        <v>96</v>
      </c>
      <c r="C2" s="155" t="s">
        <v>3391</v>
      </c>
      <c r="D2" s="155" t="s">
        <v>215</v>
      </c>
      <c r="E2" s="155" t="s">
        <v>4129</v>
      </c>
      <c r="F2" s="155" t="s">
        <v>216</v>
      </c>
      <c r="G2" s="155" t="s">
        <v>217</v>
      </c>
      <c r="H2" s="155" t="s">
        <v>4130</v>
      </c>
      <c r="I2" s="156"/>
      <c r="J2" s="164" t="s">
        <v>3451</v>
      </c>
    </row>
    <row r="3" spans="1:10" ht="15.75" thickBot="1">
      <c r="A3" s="172" t="s">
        <v>4167</v>
      </c>
      <c r="B3" s="177">
        <f>V.INTEGRAL!B3</f>
        <v>51646679</v>
      </c>
      <c r="C3" s="492">
        <f>V.INTEGRAL!C3</f>
        <v>21969974</v>
      </c>
      <c r="D3" s="157">
        <f>V.INTEGRAL!D3</f>
        <v>15087050</v>
      </c>
      <c r="E3" s="157">
        <f>V.INTEGRAL!E3</f>
        <v>0</v>
      </c>
      <c r="F3" s="157">
        <f>V.INTEGRAL!F3</f>
        <v>31401108</v>
      </c>
      <c r="G3" s="157">
        <f>V.INTEGRAL!G3</f>
        <v>0</v>
      </c>
      <c r="H3" s="157">
        <f>V.INTEGRAL!H3</f>
        <v>5158521</v>
      </c>
      <c r="I3" s="158" t="s">
        <v>218</v>
      </c>
      <c r="J3" s="496">
        <f>B3-SUM(D3:H3)</f>
        <v>0</v>
      </c>
    </row>
    <row r="4" spans="1:10" s="211" customFormat="1" ht="15.75" thickBot="1">
      <c r="A4" s="633" t="s">
        <v>4168</v>
      </c>
      <c r="B4" s="629">
        <f>B3*B5</f>
        <v>20003308.894965563</v>
      </c>
      <c r="C4" s="630">
        <f>C3*GWEI!F6</f>
        <v>7910910.4031311153</v>
      </c>
      <c r="D4" s="630">
        <f>D3*0.5</f>
        <v>7543525</v>
      </c>
      <c r="E4" s="630"/>
      <c r="F4" s="630">
        <f>(F3*GWEI!F8)*GWEI!F6</f>
        <v>11200607.07864989</v>
      </c>
      <c r="G4" s="630"/>
      <c r="H4" s="630">
        <f>H3*GWEI!F6</f>
        <v>1857471.3581213306</v>
      </c>
      <c r="I4" s="628"/>
      <c r="J4" s="496"/>
    </row>
    <row r="5" spans="1:10" s="211" customFormat="1" ht="15.75" thickBot="1">
      <c r="A5" s="633" t="s">
        <v>4169</v>
      </c>
      <c r="B5" s="631">
        <f>SUM(C4:H4)/SUM(C3:H3)</f>
        <v>0.38731065157094735</v>
      </c>
      <c r="C5" s="632">
        <f>C4/C3</f>
        <v>0.36007827788649704</v>
      </c>
      <c r="D5" s="632">
        <f>D4/D3</f>
        <v>0.5</v>
      </c>
      <c r="E5" s="630"/>
      <c r="F5" s="632">
        <f>F4/F3</f>
        <v>0.356694645254234</v>
      </c>
      <c r="G5" s="630"/>
      <c r="H5" s="632">
        <f>H4/H3</f>
        <v>0.36007827788649704</v>
      </c>
      <c r="I5" s="628"/>
      <c r="J5" s="496"/>
    </row>
    <row r="6" spans="1:10" ht="15.75" thickBot="1">
      <c r="A6" s="173" t="s">
        <v>3443</v>
      </c>
      <c r="B6" s="178">
        <f>V.INTEGRAL!B4</f>
        <v>16433281.94495758</v>
      </c>
      <c r="C6" s="159"/>
      <c r="D6" s="159">
        <f>V.INTEGRAL!D4</f>
        <v>8244725.6033184826</v>
      </c>
      <c r="E6" s="159">
        <f>V.INTEGRAL!E4</f>
        <v>0</v>
      </c>
      <c r="F6" s="159">
        <f>V.INTEGRAL!F4</f>
        <v>4621918.3507390125</v>
      </c>
      <c r="G6" s="159">
        <f>V.INTEGRAL!G4</f>
        <v>1667937.615745855</v>
      </c>
      <c r="H6" s="159">
        <f>V.INTEGRAL!H4</f>
        <v>1898700.3751542289</v>
      </c>
      <c r="I6" s="160" t="s">
        <v>219</v>
      </c>
      <c r="J6" s="496">
        <f>B6-SUM(D6:H6)</f>
        <v>0</v>
      </c>
    </row>
    <row r="7" spans="1:10" s="211" customFormat="1" ht="15.75" thickBot="1">
      <c r="A7" s="633" t="s">
        <v>4168</v>
      </c>
      <c r="B7" s="629">
        <f>B6*B8</f>
        <v>6287489.3356685182</v>
      </c>
      <c r="C7" s="630"/>
      <c r="D7" s="630">
        <f>D6*0.5</f>
        <v>4122362.8016592413</v>
      </c>
      <c r="E7" s="630"/>
      <c r="F7" s="630">
        <f>F6*'VES-IP'!F15</f>
        <v>1222075.9852775624</v>
      </c>
      <c r="G7" s="630">
        <f>G6*'VES-IP'!F15</f>
        <v>441017.41970803245</v>
      </c>
      <c r="H7" s="630">
        <f>H6*'VES-IP'!F15</f>
        <v>502033.12902368192</v>
      </c>
      <c r="I7" s="628"/>
      <c r="J7" s="496"/>
    </row>
    <row r="8" spans="1:10" s="211" customFormat="1" ht="15.75" thickBot="1">
      <c r="A8" s="633" t="s">
        <v>4169</v>
      </c>
      <c r="B8" s="631">
        <f>SUM(C7:H7)/SUM(C6:H6)</f>
        <v>0.38260703837055404</v>
      </c>
      <c r="C8" s="632"/>
      <c r="D8" s="632">
        <f>D7/D6</f>
        <v>0.5</v>
      </c>
      <c r="E8" s="630"/>
      <c r="F8" s="632">
        <f>F7/F6</f>
        <v>0.2644088217357109</v>
      </c>
      <c r="G8" s="632">
        <f>G7/G6</f>
        <v>0.2644088217357109</v>
      </c>
      <c r="H8" s="632">
        <f>H7/H6</f>
        <v>0.2644088217357109</v>
      </c>
      <c r="I8" s="628"/>
      <c r="J8" s="496"/>
    </row>
    <row r="9" spans="1:10" ht="15.75" thickBot="1">
      <c r="A9" s="174" t="s">
        <v>3444</v>
      </c>
      <c r="B9" s="179">
        <f>V.INTEGRAL!B5</f>
        <v>1878751.9668985982</v>
      </c>
      <c r="C9" s="179"/>
      <c r="D9" s="161">
        <f>V.INTEGRAL!D5</f>
        <v>942586.78793780145</v>
      </c>
      <c r="E9" s="161">
        <f>V.INTEGRAL!E5</f>
        <v>0</v>
      </c>
      <c r="F9" s="161">
        <f>V.INTEGRAL!F5</f>
        <v>528405.59916031174</v>
      </c>
      <c r="G9" s="161">
        <f>V.INTEGRAL!G5</f>
        <v>190688.69424516967</v>
      </c>
      <c r="H9" s="161">
        <f>V.INTEGRAL!H5</f>
        <v>217070.8855553153</v>
      </c>
      <c r="I9" s="162" t="s">
        <v>220</v>
      </c>
      <c r="J9" s="496">
        <f>B9-SUM(D9:H9)</f>
        <v>0</v>
      </c>
    </row>
    <row r="10" spans="1:10" s="211" customFormat="1" ht="15.75" thickBot="1">
      <c r="A10" s="633" t="s">
        <v>4168</v>
      </c>
      <c r="B10" s="629"/>
      <c r="C10" s="630"/>
      <c r="D10" s="630"/>
      <c r="E10" s="630"/>
      <c r="F10" s="630"/>
      <c r="G10" s="630"/>
      <c r="H10" s="630"/>
      <c r="I10" s="628"/>
      <c r="J10" s="496"/>
    </row>
    <row r="11" spans="1:10" s="211" customFormat="1" ht="15.75" thickBot="1">
      <c r="A11" s="633" t="s">
        <v>4169</v>
      </c>
      <c r="B11" s="631"/>
      <c r="C11" s="632"/>
      <c r="D11" s="632"/>
      <c r="E11" s="630"/>
      <c r="F11" s="632"/>
      <c r="G11" s="630"/>
      <c r="H11" s="632"/>
      <c r="I11" s="628"/>
      <c r="J11" s="496"/>
    </row>
    <row r="12" spans="1:10" ht="15.75" thickBot="1">
      <c r="A12" s="173" t="s">
        <v>3442</v>
      </c>
      <c r="B12" s="178">
        <f>V.INTEGRAL!B6</f>
        <v>31813597.498053078</v>
      </c>
      <c r="C12" s="159"/>
      <c r="D12" s="159">
        <f>V.INTEGRAL!D6</f>
        <v>11891117.982099054</v>
      </c>
      <c r="E12" s="159">
        <f>V.INTEGRAL!E6</f>
        <v>31813597.498053078</v>
      </c>
      <c r="F12" s="159">
        <f>V.INTEGRAL!F6</f>
        <v>10360174.491537362</v>
      </c>
      <c r="G12" s="159">
        <f>V.INTEGRAL!G6</f>
        <v>5007882.7164510135</v>
      </c>
      <c r="H12" s="159">
        <f>V.INTEGRAL!H6</f>
        <v>4554422.3079656474</v>
      </c>
      <c r="I12" s="160" t="s">
        <v>221</v>
      </c>
      <c r="J12" s="496">
        <f>B12-SUM(D12:H12)</f>
        <v>-31813597.49805307</v>
      </c>
    </row>
    <row r="13" spans="1:10" s="211" customFormat="1" ht="15.75" thickBot="1">
      <c r="A13" s="633" t="s">
        <v>4168</v>
      </c>
      <c r="B13" s="629">
        <f>SUM(D13:H13)</f>
        <v>11576476.020714447</v>
      </c>
      <c r="C13" s="630"/>
      <c r="D13" s="630">
        <f>'VES-IC'!C9*0.5</f>
        <v>5945558.9910495272</v>
      </c>
      <c r="E13" s="630"/>
      <c r="F13" s="630">
        <f>'VES-IC'!J7</f>
        <v>2928213.9769791728</v>
      </c>
      <c r="G13" s="630">
        <f>'VES-IC'!I7</f>
        <v>1415434.8633184314</v>
      </c>
      <c r="H13" s="630">
        <f>'VES-IC'!K7</f>
        <v>1287268.1893673157</v>
      </c>
      <c r="I13" s="628"/>
      <c r="J13" s="496"/>
    </row>
    <row r="14" spans="1:10" s="211" customFormat="1" ht="15.75" thickBot="1">
      <c r="A14" s="633" t="s">
        <v>4169</v>
      </c>
      <c r="B14" s="631">
        <f>B13/B12</f>
        <v>0.36388453149389666</v>
      </c>
      <c r="C14" s="632"/>
      <c r="D14" s="632">
        <f>D13/D12</f>
        <v>0.5</v>
      </c>
      <c r="E14" s="630"/>
      <c r="F14" s="632">
        <f>F13/F12</f>
        <v>0.28264137629834946</v>
      </c>
      <c r="G14" s="630">
        <f>G13/G12</f>
        <v>0.28264137629834946</v>
      </c>
      <c r="H14" s="632">
        <f>H13/H12</f>
        <v>0.28264137629834946</v>
      </c>
      <c r="I14" s="628"/>
      <c r="J14" s="496"/>
    </row>
    <row r="15" spans="1:10" ht="15.75" thickBot="1">
      <c r="A15" s="175" t="s">
        <v>4125</v>
      </c>
      <c r="B15" s="180">
        <f>V.INTEGRAL!B7</f>
        <v>101772310.40990926</v>
      </c>
      <c r="C15" s="180">
        <f>V.INTEGRAL!C7</f>
        <v>21969974</v>
      </c>
      <c r="D15" s="180">
        <f>V.INTEGRAL!D7</f>
        <v>36165480.373355336</v>
      </c>
      <c r="E15" s="180">
        <f>V.INTEGRAL!E7</f>
        <v>31813597.498053078</v>
      </c>
      <c r="F15" s="180">
        <f>V.INTEGRAL!F7</f>
        <v>46911606.441436686</v>
      </c>
      <c r="G15" s="180">
        <f>V.INTEGRAL!G7</f>
        <v>6866509.0264420379</v>
      </c>
      <c r="H15" s="180">
        <f>V.INTEGRAL!H7</f>
        <v>11828714.568675192</v>
      </c>
      <c r="I15" s="163" t="s">
        <v>18</v>
      </c>
      <c r="J15" s="496"/>
    </row>
    <row r="16" spans="1:10" s="211" customFormat="1" ht="15.75" thickBot="1">
      <c r="A16" s="633" t="s">
        <v>4180</v>
      </c>
      <c r="B16" s="629">
        <f>B4+B7+B10+B13</f>
        <v>37867274.251348525</v>
      </c>
      <c r="C16" s="630">
        <f>C4+C7+C10+C13</f>
        <v>7910910.4031311153</v>
      </c>
      <c r="D16" s="630">
        <f>D4+D7+D10+D13</f>
        <v>17611446.792708769</v>
      </c>
      <c r="E16" s="630">
        <f t="shared" ref="E16:H16" si="0">E4+E7+E10+E13</f>
        <v>0</v>
      </c>
      <c r="F16" s="630">
        <f t="shared" si="0"/>
        <v>15350897.040906627</v>
      </c>
      <c r="G16" s="630">
        <f t="shared" si="0"/>
        <v>1856452.2830264638</v>
      </c>
      <c r="H16" s="630">
        <f t="shared" si="0"/>
        <v>3646772.6765123284</v>
      </c>
      <c r="I16" s="628"/>
      <c r="J16" s="496"/>
    </row>
    <row r="17" spans="1:10" s="211" customFormat="1" ht="15.75" thickBot="1">
      <c r="A17" s="633" t="s">
        <v>4181</v>
      </c>
      <c r="B17" s="631">
        <f>B16/B15</f>
        <v>0.37207835902349234</v>
      </c>
      <c r="C17" s="632">
        <f t="shared" ref="C17:H17" si="1">C16/C15</f>
        <v>0.36007827788649704</v>
      </c>
      <c r="D17" s="632">
        <f t="shared" si="1"/>
        <v>0.48696841880424402</v>
      </c>
      <c r="E17" s="630">
        <f t="shared" si="1"/>
        <v>0</v>
      </c>
      <c r="F17" s="632">
        <f t="shared" si="1"/>
        <v>0.32723025718742577</v>
      </c>
      <c r="G17" s="630">
        <f t="shared" si="1"/>
        <v>0.27036333541214413</v>
      </c>
      <c r="H17" s="632">
        <f t="shared" si="1"/>
        <v>0.30829830708483857</v>
      </c>
      <c r="I17" s="628"/>
      <c r="J17" s="496"/>
    </row>
    <row r="18" spans="1:10" ht="15.75" thickBot="1">
      <c r="A18" s="175" t="s">
        <v>4182</v>
      </c>
      <c r="B18" s="180">
        <f>V.INTEGRAL!B8</f>
        <v>74179988</v>
      </c>
      <c r="C18" s="180">
        <f>V.INTEGRAL!C8</f>
        <v>0</v>
      </c>
      <c r="D18" s="180">
        <f>V.INTEGRAL!D8</f>
        <v>0</v>
      </c>
      <c r="E18" s="180">
        <f>V.INTEGRAL!E8</f>
        <v>74179988</v>
      </c>
      <c r="F18" s="180">
        <f>V.INTEGRAL!F8</f>
        <v>0</v>
      </c>
      <c r="G18" s="180">
        <f>V.INTEGRAL!G8</f>
        <v>0</v>
      </c>
      <c r="H18" s="180">
        <f>V.INTEGRAL!H8</f>
        <v>0</v>
      </c>
      <c r="I18" s="180"/>
      <c r="J18" s="496"/>
    </row>
    <row r="19" spans="1:10" s="211" customFormat="1" ht="15.75" thickBot="1">
      <c r="A19" s="633" t="s">
        <v>4168</v>
      </c>
      <c r="B19" s="629">
        <f>B18*'VES-IC'!F16</f>
        <v>20966333.902115047</v>
      </c>
      <c r="C19" s="630"/>
      <c r="D19" s="630"/>
      <c r="E19" s="630"/>
      <c r="F19" s="630"/>
      <c r="G19" s="630"/>
      <c r="H19" s="630"/>
      <c r="I19" s="628"/>
      <c r="J19" s="496"/>
    </row>
    <row r="20" spans="1:10" s="211" customFormat="1" ht="15.75" thickBot="1">
      <c r="A20" s="633" t="s">
        <v>4169</v>
      </c>
      <c r="B20" s="631">
        <f>B19/B18</f>
        <v>0.28264137629834946</v>
      </c>
      <c r="C20" s="632"/>
      <c r="D20" s="632"/>
      <c r="E20" s="630"/>
      <c r="F20" s="632"/>
      <c r="G20" s="630"/>
      <c r="H20" s="632"/>
      <c r="I20" s="628"/>
      <c r="J20" s="496"/>
    </row>
    <row r="21" spans="1:10" s="211" customFormat="1" ht="15.75" thickBot="1">
      <c r="A21" s="175" t="s">
        <v>4183</v>
      </c>
      <c r="B21" s="180">
        <f>B15+B18</f>
        <v>175952298.40990925</v>
      </c>
      <c r="C21" s="180">
        <f t="shared" ref="C21:H21" si="2">C15+C18</f>
        <v>21969974</v>
      </c>
      <c r="D21" s="180">
        <f t="shared" si="2"/>
        <v>36165480.373355336</v>
      </c>
      <c r="E21" s="180">
        <f t="shared" si="2"/>
        <v>105993585.49805307</v>
      </c>
      <c r="F21" s="180">
        <f t="shared" si="2"/>
        <v>46911606.441436686</v>
      </c>
      <c r="G21" s="180">
        <f t="shared" si="2"/>
        <v>6866509.0264420379</v>
      </c>
      <c r="H21" s="180">
        <f t="shared" si="2"/>
        <v>11828714.568675192</v>
      </c>
      <c r="I21" s="180"/>
      <c r="J21" s="496"/>
    </row>
    <row r="22" spans="1:10" s="211" customFormat="1" ht="15.75" thickBot="1">
      <c r="A22" s="633" t="s">
        <v>4168</v>
      </c>
      <c r="B22" s="629">
        <f>B16+B19</f>
        <v>58833608.153463572</v>
      </c>
      <c r="C22" s="630">
        <f t="shared" ref="C22:H22" si="3">C16+C19</f>
        <v>7910910.4031311153</v>
      </c>
      <c r="D22" s="630">
        <f t="shared" si="3"/>
        <v>17611446.792708769</v>
      </c>
      <c r="E22" s="630">
        <f t="shared" si="3"/>
        <v>0</v>
      </c>
      <c r="F22" s="630">
        <f t="shared" si="3"/>
        <v>15350897.040906627</v>
      </c>
      <c r="G22" s="630">
        <f t="shared" si="3"/>
        <v>1856452.2830264638</v>
      </c>
      <c r="H22" s="630">
        <f t="shared" si="3"/>
        <v>3646772.6765123284</v>
      </c>
      <c r="I22" s="628"/>
      <c r="J22" s="496"/>
    </row>
    <row r="23" spans="1:10" s="211" customFormat="1" ht="15.75" thickBot="1">
      <c r="A23" s="633" t="s">
        <v>4169</v>
      </c>
      <c r="B23" s="631">
        <f>B22/B21</f>
        <v>0.33437249007342429</v>
      </c>
      <c r="C23" s="632">
        <f t="shared" ref="C23:H23" si="4">C22/C21</f>
        <v>0.36007827788649704</v>
      </c>
      <c r="D23" s="632">
        <f t="shared" si="4"/>
        <v>0.48696841880424402</v>
      </c>
      <c r="E23" s="632">
        <f t="shared" si="4"/>
        <v>0</v>
      </c>
      <c r="F23" s="632">
        <f t="shared" si="4"/>
        <v>0.32723025718742577</v>
      </c>
      <c r="G23" s="632">
        <f t="shared" si="4"/>
        <v>0.27036333541214413</v>
      </c>
      <c r="H23" s="632">
        <f t="shared" si="4"/>
        <v>0.30829830708483857</v>
      </c>
      <c r="I23" s="628"/>
      <c r="J23" s="496"/>
    </row>
    <row r="24" spans="1:10" ht="15.75" thickBot="1">
      <c r="A24" s="172" t="s">
        <v>3389</v>
      </c>
      <c r="B24" s="177">
        <f>V.INTEGRAL!B10</f>
        <v>5841337</v>
      </c>
      <c r="C24" s="157">
        <f>V.INTEGRAL!C10</f>
        <v>0</v>
      </c>
      <c r="D24" s="157">
        <f>V.INTEGRAL!D10</f>
        <v>5841337</v>
      </c>
      <c r="E24" s="157">
        <f>V.INTEGRAL!E10</f>
        <v>0</v>
      </c>
      <c r="F24" s="157">
        <f>V.INTEGRAL!F10</f>
        <v>0</v>
      </c>
      <c r="G24" s="157">
        <f>V.INTEGRAL!G10</f>
        <v>0</v>
      </c>
      <c r="H24" s="157">
        <f>V.INTEGRAL!H10</f>
        <v>0</v>
      </c>
      <c r="I24" s="158"/>
      <c r="J24" s="211"/>
    </row>
    <row r="25" spans="1:10" s="211" customFormat="1" ht="15.75" thickBot="1">
      <c r="A25" s="633" t="s">
        <v>4168</v>
      </c>
      <c r="B25" s="629">
        <f>'A-A'!F16</f>
        <v>2920668.5</v>
      </c>
      <c r="C25" s="630"/>
      <c r="D25" s="630">
        <f>'A-A'!F16</f>
        <v>2920668.5</v>
      </c>
      <c r="E25" s="630"/>
      <c r="F25" s="630"/>
      <c r="G25" s="630"/>
      <c r="H25" s="630"/>
      <c r="I25" s="628"/>
    </row>
    <row r="26" spans="1:10" s="211" customFormat="1" ht="15.75" thickBot="1">
      <c r="A26" s="633" t="s">
        <v>4169</v>
      </c>
      <c r="B26" s="631">
        <f>'A-A'!G16</f>
        <v>0.5</v>
      </c>
      <c r="C26" s="632"/>
      <c r="D26" s="632">
        <f>D25/D24</f>
        <v>0.5</v>
      </c>
      <c r="E26" s="632"/>
      <c r="F26" s="632"/>
      <c r="G26" s="632"/>
      <c r="H26" s="632"/>
      <c r="I26" s="628"/>
    </row>
    <row r="27" spans="1:10" ht="15.75" thickBot="1">
      <c r="A27" s="173" t="s">
        <v>3390</v>
      </c>
      <c r="B27" s="178">
        <f>V.INTEGRAL!B11</f>
        <v>45969005.174822591</v>
      </c>
      <c r="C27" s="159">
        <f>V.INTEGRAL!C11</f>
        <v>39484378</v>
      </c>
      <c r="D27" s="159">
        <f>V.INTEGRAL!D11</f>
        <v>10939941.674822589</v>
      </c>
      <c r="E27" s="159">
        <f>V.INTEGRAL!E11</f>
        <v>0</v>
      </c>
      <c r="F27" s="159">
        <f>V.INTEGRAL!F11</f>
        <v>413694</v>
      </c>
      <c r="G27" s="159">
        <f>V.INTEGRAL!G11</f>
        <v>0</v>
      </c>
      <c r="H27" s="159">
        <f>V.INTEGRAL!H11</f>
        <v>0</v>
      </c>
      <c r="I27" s="160"/>
      <c r="J27" s="211"/>
    </row>
    <row r="28" spans="1:10" s="211" customFormat="1" ht="15.75" thickBot="1">
      <c r="A28" s="633" t="s">
        <v>4168</v>
      </c>
      <c r="B28" s="629">
        <f>'VSE-F'!L21</f>
        <v>33035208.299250826</v>
      </c>
      <c r="C28" s="630">
        <f>'VSE-F'!D27+'VSE-F'!E27</f>
        <v>28851073.477495104</v>
      </c>
      <c r="D28" s="630">
        <f>'VSE-F'!F27</f>
        <v>5469970.8374112947</v>
      </c>
      <c r="E28" s="630"/>
      <c r="F28" s="630">
        <f>'VSE-F'!G27</f>
        <v>148962.22309197651</v>
      </c>
      <c r="G28" s="630"/>
      <c r="H28" s="630"/>
      <c r="I28" s="628"/>
    </row>
    <row r="29" spans="1:10" s="211" customFormat="1" ht="15.75" thickBot="1">
      <c r="A29" s="633" t="s">
        <v>4169</v>
      </c>
      <c r="B29" s="631">
        <f>B28/B27</f>
        <v>0.71864092280474978</v>
      </c>
      <c r="C29" s="632">
        <f>C28/C27</f>
        <v>0.73069590908827542</v>
      </c>
      <c r="D29" s="632">
        <f>D28/D27</f>
        <v>0.5</v>
      </c>
      <c r="E29" s="632"/>
      <c r="F29" s="632">
        <f>F28/F27</f>
        <v>0.36007827788649704</v>
      </c>
      <c r="G29" s="632"/>
      <c r="H29" s="632"/>
      <c r="I29" s="628"/>
    </row>
    <row r="30" spans="1:10" ht="15.75" thickBot="1">
      <c r="A30" s="172" t="s">
        <v>3392</v>
      </c>
      <c r="B30" s="177">
        <f>'VSE-F'!C25</f>
        <v>278530.5</v>
      </c>
      <c r="C30" s="157">
        <f>V.INTEGRAL!C12</f>
        <v>0</v>
      </c>
      <c r="D30" s="157">
        <f>V.INTEGRAL!D12</f>
        <v>0</v>
      </c>
      <c r="E30" s="157">
        <f>V.INTEGRAL!E12</f>
        <v>0</v>
      </c>
      <c r="F30" s="157">
        <f>V.INTEGRAL!F12</f>
        <v>0</v>
      </c>
      <c r="G30" s="157">
        <f>V.INTEGRAL!G12</f>
        <v>0</v>
      </c>
      <c r="H30" s="157">
        <f>V.INTEGRAL!H12</f>
        <v>0</v>
      </c>
      <c r="I30" s="158"/>
      <c r="J30" s="211"/>
    </row>
    <row r="31" spans="1:10" s="211" customFormat="1" ht="15.75" thickBot="1">
      <c r="A31" s="633" t="s">
        <v>4168</v>
      </c>
      <c r="B31" s="629">
        <f>'VSE-F'!C27</f>
        <v>1500</v>
      </c>
      <c r="C31" s="630"/>
      <c r="D31" s="630"/>
      <c r="E31" s="630"/>
      <c r="F31" s="630"/>
      <c r="G31" s="630"/>
      <c r="H31" s="630"/>
      <c r="I31" s="628"/>
    </row>
    <row r="32" spans="1:10" s="211" customFormat="1" ht="15.75" thickBot="1">
      <c r="A32" s="633" t="s">
        <v>4169</v>
      </c>
      <c r="B32" s="631">
        <f>B31/B30</f>
        <v>5.3854066251272301E-3</v>
      </c>
      <c r="C32" s="632"/>
      <c r="D32" s="632"/>
      <c r="E32" s="632"/>
      <c r="F32" s="632"/>
      <c r="G32" s="632"/>
      <c r="H32" s="632"/>
      <c r="I32" s="628"/>
    </row>
    <row r="33" spans="1:10" ht="15.75" thickBot="1">
      <c r="A33" s="175" t="s">
        <v>4126</v>
      </c>
      <c r="B33" s="180">
        <f>V.INTEGRAL!B13</f>
        <v>52088872.674822591</v>
      </c>
      <c r="C33" s="180">
        <f>V.INTEGRAL!C13</f>
        <v>39484378</v>
      </c>
      <c r="D33" s="180">
        <f>V.INTEGRAL!D13</f>
        <v>16781278.674822591</v>
      </c>
      <c r="E33" s="180">
        <f>V.INTEGRAL!E13</f>
        <v>0</v>
      </c>
      <c r="F33" s="180">
        <f>V.INTEGRAL!F13</f>
        <v>413694</v>
      </c>
      <c r="G33" s="180">
        <f>V.INTEGRAL!G13</f>
        <v>0</v>
      </c>
      <c r="H33" s="180">
        <f>V.INTEGRAL!H13</f>
        <v>0</v>
      </c>
      <c r="I33" s="163" t="s">
        <v>222</v>
      </c>
      <c r="J33" s="497">
        <f>(SUM(C33:H33))/B33</f>
        <v>1.0881278047359015</v>
      </c>
    </row>
    <row r="34" spans="1:10" s="211" customFormat="1" ht="15.75" thickBot="1">
      <c r="A34" s="633" t="s">
        <v>4168</v>
      </c>
      <c r="B34" s="629">
        <f>B25+B28+B31</f>
        <v>35957376.799250826</v>
      </c>
      <c r="C34" s="630">
        <f t="shared" ref="C34:H34" si="5">C25+C28+C31</f>
        <v>28851073.477495104</v>
      </c>
      <c r="D34" s="630">
        <f t="shared" si="5"/>
        <v>8390639.3374112956</v>
      </c>
      <c r="E34" s="630">
        <f t="shared" si="5"/>
        <v>0</v>
      </c>
      <c r="F34" s="630">
        <f t="shared" si="5"/>
        <v>148962.22309197651</v>
      </c>
      <c r="G34" s="629">
        <f t="shared" si="5"/>
        <v>0</v>
      </c>
      <c r="H34" s="629">
        <f t="shared" si="5"/>
        <v>0</v>
      </c>
      <c r="I34" s="628"/>
      <c r="J34" s="497"/>
    </row>
    <row r="35" spans="1:10" s="211" customFormat="1" ht="15.75" thickBot="1">
      <c r="A35" s="633" t="s">
        <v>4169</v>
      </c>
      <c r="B35" s="631">
        <f>B34/B33</f>
        <v>0.69030821656908303</v>
      </c>
      <c r="C35" s="632">
        <f t="shared" ref="C35:F35" si="6">C34/C33</f>
        <v>0.73069590908827542</v>
      </c>
      <c r="D35" s="632">
        <f t="shared" si="6"/>
        <v>0.5</v>
      </c>
      <c r="E35" s="632" t="e">
        <f t="shared" si="6"/>
        <v>#DIV/0!</v>
      </c>
      <c r="F35" s="632">
        <f t="shared" si="6"/>
        <v>0.36007827788649704</v>
      </c>
      <c r="G35" s="632"/>
      <c r="H35" s="632"/>
      <c r="I35" s="628"/>
      <c r="J35" s="497"/>
    </row>
    <row r="36" spans="1:10" ht="20.25" customHeight="1" thickBot="1">
      <c r="A36" s="175" t="s">
        <v>4128</v>
      </c>
      <c r="B36" s="180">
        <f>V.INTEGRAL!B14</f>
        <v>126268860.6748226</v>
      </c>
      <c r="C36" s="180">
        <f>V.INTEGRAL!C14</f>
        <v>39484378</v>
      </c>
      <c r="D36" s="180">
        <f>V.INTEGRAL!D14</f>
        <v>16781278.674822591</v>
      </c>
      <c r="E36" s="180">
        <f>V.INTEGRAL!E14</f>
        <v>74179988</v>
      </c>
      <c r="F36" s="180">
        <f>V.INTEGRAL!F14</f>
        <v>413694</v>
      </c>
      <c r="G36" s="180">
        <f>V.INTEGRAL!G14</f>
        <v>0</v>
      </c>
      <c r="H36" s="180">
        <f>V.INTEGRAL!H14</f>
        <v>0</v>
      </c>
      <c r="I36" s="163" t="s">
        <v>222</v>
      </c>
      <c r="J36" s="164" t="s">
        <v>3454</v>
      </c>
    </row>
    <row r="37" spans="1:10" s="211" customFormat="1" ht="20.25" customHeight="1" thickBot="1">
      <c r="A37" s="633" t="s">
        <v>4168</v>
      </c>
      <c r="B37" s="629">
        <f>B19+B34</f>
        <v>56923710.701365873</v>
      </c>
      <c r="C37" s="629">
        <f t="shared" ref="C37:H37" si="7">C19+C34</f>
        <v>28851073.477495104</v>
      </c>
      <c r="D37" s="629">
        <f t="shared" si="7"/>
        <v>8390639.3374112956</v>
      </c>
      <c r="E37" s="629">
        <f t="shared" si="7"/>
        <v>0</v>
      </c>
      <c r="F37" s="629">
        <f t="shared" si="7"/>
        <v>148962.22309197651</v>
      </c>
      <c r="G37" s="629">
        <f t="shared" si="7"/>
        <v>0</v>
      </c>
      <c r="H37" s="629">
        <f t="shared" si="7"/>
        <v>0</v>
      </c>
      <c r="I37" s="628"/>
      <c r="J37" s="568"/>
    </row>
    <row r="38" spans="1:10" s="211" customFormat="1" ht="20.25" customHeight="1" thickBot="1">
      <c r="A38" s="633" t="s">
        <v>4169</v>
      </c>
      <c r="B38" s="631">
        <f>B37/B36</f>
        <v>0.45081352914049211</v>
      </c>
      <c r="C38" s="632"/>
      <c r="D38" s="632"/>
      <c r="E38" s="632"/>
      <c r="F38" s="632"/>
      <c r="G38" s="632"/>
      <c r="H38" s="632"/>
      <c r="I38" s="628"/>
      <c r="J38" s="568"/>
    </row>
    <row r="39" spans="1:10" ht="15.75" thickBot="1">
      <c r="A39" s="176" t="s">
        <v>223</v>
      </c>
      <c r="B39" s="181">
        <f>V.INTEGRAL!B15</f>
        <v>228041171.08473188</v>
      </c>
      <c r="C39" s="181">
        <f>V.INTEGRAL!C15</f>
        <v>61454352</v>
      </c>
      <c r="D39" s="181">
        <f>V.INTEGRAL!D15</f>
        <v>52946759.048177928</v>
      </c>
      <c r="E39" s="181">
        <f>V.INTEGRAL!E15</f>
        <v>105993585.49805307</v>
      </c>
      <c r="F39" s="181">
        <f>V.INTEGRAL!F15</f>
        <v>47325300.441436686</v>
      </c>
      <c r="G39" s="181">
        <f>V.INTEGRAL!G15</f>
        <v>6866509.0264420379</v>
      </c>
      <c r="H39" s="181">
        <f>V.INTEGRAL!H15</f>
        <v>11828714.568675192</v>
      </c>
      <c r="I39" s="164" t="s">
        <v>202</v>
      </c>
      <c r="J39" s="497">
        <f>(SUM(C39:H39))/B39</f>
        <v>1.2559803092589952</v>
      </c>
    </row>
    <row r="40" spans="1:10" s="211" customFormat="1" ht="15.75" thickBot="1">
      <c r="A40" s="633" t="s">
        <v>4168</v>
      </c>
      <c r="B40" s="629">
        <f>B16+B37</f>
        <v>94790984.952714399</v>
      </c>
      <c r="C40" s="630">
        <f t="shared" ref="C40:H40" si="8">C16+C37</f>
        <v>36761983.880626217</v>
      </c>
      <c r="D40" s="630">
        <f t="shared" si="8"/>
        <v>26002086.130120065</v>
      </c>
      <c r="E40" s="630">
        <f t="shared" si="8"/>
        <v>0</v>
      </c>
      <c r="F40" s="630">
        <f t="shared" si="8"/>
        <v>15499859.263998603</v>
      </c>
      <c r="G40" s="630">
        <f t="shared" si="8"/>
        <v>1856452.2830264638</v>
      </c>
      <c r="H40" s="630">
        <f t="shared" si="8"/>
        <v>3646772.6765123284</v>
      </c>
      <c r="I40" s="628"/>
      <c r="J40" s="497"/>
    </row>
    <row r="41" spans="1:10" s="211" customFormat="1" ht="15.75" thickBot="1">
      <c r="A41" s="633" t="s">
        <v>4169</v>
      </c>
      <c r="B41" s="631">
        <f>B40/B39</f>
        <v>0.41567487354067956</v>
      </c>
      <c r="C41" s="632">
        <f t="shared" ref="C41:H41" si="9">C40/C39</f>
        <v>0.59819984564520701</v>
      </c>
      <c r="D41" s="632">
        <f t="shared" si="9"/>
        <v>0.49109873007448757</v>
      </c>
      <c r="E41" s="632">
        <f t="shared" si="9"/>
        <v>0</v>
      </c>
      <c r="F41" s="632">
        <f t="shared" si="9"/>
        <v>0.32751739808137315</v>
      </c>
      <c r="G41" s="632">
        <f t="shared" si="9"/>
        <v>0.27036333541214413</v>
      </c>
      <c r="H41" s="632">
        <f t="shared" si="9"/>
        <v>0.30829830708483857</v>
      </c>
      <c r="I41" s="628"/>
      <c r="J41" s="497"/>
    </row>
    <row r="42" spans="1:10" ht="15.75" thickBot="1">
      <c r="A42" s="173" t="s">
        <v>224</v>
      </c>
      <c r="B42" s="165">
        <f>V.INTEGRAL!B16</f>
        <v>53019572.27720017</v>
      </c>
      <c r="C42" s="165">
        <f>V.INTEGRAL!C16</f>
        <v>14288136.840000002</v>
      </c>
      <c r="D42" s="165">
        <f>V.INTEGRAL!D16</f>
        <v>12310121.47870137</v>
      </c>
      <c r="E42" s="165">
        <f>V.INTEGRAL!E16</f>
        <v>24643508.628297344</v>
      </c>
      <c r="F42" s="165">
        <f>V.INTEGRAL!F16</f>
        <v>11003132.352634031</v>
      </c>
      <c r="G42" s="165">
        <f>V.INTEGRAL!G16</f>
        <v>1596463.3486477742</v>
      </c>
      <c r="H42" s="165">
        <f>V.INTEGRAL!H16</f>
        <v>2750176.1372169829</v>
      </c>
      <c r="I42" s="160" t="s">
        <v>225</v>
      </c>
      <c r="J42" s="211"/>
    </row>
    <row r="43" spans="1:10" s="211" customFormat="1" ht="15.75" thickBot="1">
      <c r="A43" s="633" t="s">
        <v>4168</v>
      </c>
      <c r="B43" s="629">
        <f>(B40*0.5)*((V.EMOC!K10-3)/2)</f>
        <v>17299354.753870375</v>
      </c>
      <c r="C43" s="630">
        <f>($B43/$B42)*C40</f>
        <v>11994789.344622767</v>
      </c>
      <c r="D43" s="630">
        <f>($B43/$B42)*D40</f>
        <v>8484023.7856666707</v>
      </c>
      <c r="E43" s="630">
        <f>($B43/$B42)*E40</f>
        <v>0</v>
      </c>
      <c r="F43" s="630">
        <f>($B43/$B42)*F40</f>
        <v>5057331.7083940776</v>
      </c>
      <c r="G43" s="630">
        <f>($B43/$B42)*G40</f>
        <v>605727.75766276522</v>
      </c>
      <c r="H43" s="630">
        <f>($B43/$B42)*H40</f>
        <v>1189877.8418632613</v>
      </c>
      <c r="I43" s="628"/>
    </row>
    <row r="44" spans="1:10" s="211" customFormat="1" ht="15.75" thickBot="1">
      <c r="A44" s="633" t="s">
        <v>4169</v>
      </c>
      <c r="B44" s="631">
        <f>B43/B42</f>
        <v>0.32628242761795268</v>
      </c>
      <c r="C44" s="632">
        <f>C43/C42</f>
        <v>0.8394928939260331</v>
      </c>
      <c r="D44" s="632">
        <f t="shared" ref="D44:H44" si="10">D43/D42</f>
        <v>0.68919090687654816</v>
      </c>
      <c r="E44" s="632">
        <f t="shared" si="10"/>
        <v>0</v>
      </c>
      <c r="F44" s="632">
        <f t="shared" si="10"/>
        <v>0.45962654508862716</v>
      </c>
      <c r="G44" s="632">
        <f t="shared" si="10"/>
        <v>0.3794185179232738</v>
      </c>
      <c r="H44" s="632">
        <f t="shared" si="10"/>
        <v>0.43265514006944589</v>
      </c>
      <c r="I44" s="628"/>
    </row>
    <row r="45" spans="1:10" ht="15.75" thickBot="1">
      <c r="A45" s="176" t="s">
        <v>226</v>
      </c>
      <c r="B45" s="166">
        <f>V.INTEGRAL!B17</f>
        <v>281060743.36193204</v>
      </c>
      <c r="C45" s="166">
        <f>V.INTEGRAL!C17</f>
        <v>75742488.840000004</v>
      </c>
      <c r="D45" s="166">
        <f>V.INTEGRAL!D17</f>
        <v>65256880.526879296</v>
      </c>
      <c r="E45" s="166">
        <f>V.INTEGRAL!E17</f>
        <v>130637094.12635042</v>
      </c>
      <c r="F45" s="166">
        <f>V.INTEGRAL!F17</f>
        <v>58328432.794070721</v>
      </c>
      <c r="G45" s="166">
        <f>V.INTEGRAL!G17</f>
        <v>8462972.375089813</v>
      </c>
      <c r="H45" s="166">
        <f>V.INTEGRAL!H17</f>
        <v>14578890.705892175</v>
      </c>
      <c r="I45" s="164" t="s">
        <v>117</v>
      </c>
      <c r="J45" s="497">
        <f>(SUM(C45:H45))/B45</f>
        <v>1.255980309258995</v>
      </c>
    </row>
    <row r="46" spans="1:10" ht="15.75" thickBot="1">
      <c r="A46" s="633" t="s">
        <v>4168</v>
      </c>
      <c r="B46" s="629">
        <f>B40+B43</f>
        <v>112090339.70658478</v>
      </c>
      <c r="C46" s="629">
        <f>C40+C43</f>
        <v>48756773.225248985</v>
      </c>
      <c r="D46" s="629">
        <f>D40+D43</f>
        <v>34486109.915786736</v>
      </c>
      <c r="E46" s="629">
        <f>E40+E43</f>
        <v>0</v>
      </c>
      <c r="F46" s="629">
        <f>F40+F43</f>
        <v>20557190.972392682</v>
      </c>
      <c r="G46" s="629">
        <f>G40+G43</f>
        <v>2462180.040689229</v>
      </c>
      <c r="H46" s="629">
        <f>H40+H43</f>
        <v>4836650.5183755895</v>
      </c>
      <c r="I46" s="628"/>
    </row>
    <row r="47" spans="1:10" ht="15.75" thickBot="1">
      <c r="A47" s="633" t="s">
        <v>4169</v>
      </c>
      <c r="B47" s="631">
        <f>B46/B45</f>
        <v>0.39881179550657492</v>
      </c>
      <c r="C47" s="631">
        <f t="shared" ref="C47:H47" si="11">C46/C45</f>
        <v>0.64371760120325328</v>
      </c>
      <c r="D47" s="631">
        <f t="shared" si="11"/>
        <v>0.52846703117507909</v>
      </c>
      <c r="E47" s="631">
        <f t="shared" si="11"/>
        <v>0</v>
      </c>
      <c r="F47" s="631">
        <f t="shared" si="11"/>
        <v>0.35243859619836021</v>
      </c>
      <c r="G47" s="631">
        <f t="shared" si="11"/>
        <v>0.29093561122053163</v>
      </c>
      <c r="H47" s="631">
        <f t="shared" si="11"/>
        <v>0.33175710113670159</v>
      </c>
      <c r="I47" s="62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-0.249977111117893"/>
  </sheetPr>
  <dimension ref="A1:U17"/>
  <sheetViews>
    <sheetView zoomScaleNormal="100" workbookViewId="0">
      <selection activeCell="C4" sqref="C4"/>
    </sheetView>
  </sheetViews>
  <sheetFormatPr baseColWidth="10" defaultColWidth="11.42578125" defaultRowHeight="12.75"/>
  <cols>
    <col min="1" max="1" width="45" style="402" customWidth="1"/>
    <col min="2" max="2" width="12.5703125" style="402" customWidth="1"/>
    <col min="3" max="3" width="12.85546875" style="402" customWidth="1"/>
    <col min="4" max="4" width="5.85546875" style="402" customWidth="1"/>
    <col min="5" max="5" width="11.5703125" style="402" customWidth="1"/>
    <col min="6" max="6" width="11.7109375" style="402" customWidth="1"/>
    <col min="7" max="7" width="5.5703125" style="402" customWidth="1"/>
    <col min="8" max="8" width="11.5703125" style="402" customWidth="1"/>
    <col min="9" max="9" width="11.7109375" style="402" customWidth="1"/>
    <col min="10" max="10" width="5.5703125" style="402" customWidth="1"/>
    <col min="11" max="11" width="11.5703125" style="402" customWidth="1"/>
    <col min="12" max="12" width="11.85546875" style="402" customWidth="1"/>
    <col min="13" max="13" width="5.5703125" style="402" customWidth="1"/>
    <col min="14" max="14" width="11.28515625" style="402" customWidth="1"/>
    <col min="15" max="15" width="10.85546875" style="402" customWidth="1"/>
    <col min="16" max="16" width="6" style="402" customWidth="1"/>
    <col min="17" max="17" width="11.5703125" style="402" customWidth="1"/>
    <col min="18" max="18" width="10.5703125" style="402" customWidth="1"/>
    <col min="19" max="20" width="7.42578125" style="402" customWidth="1"/>
    <col min="21" max="21" width="8.7109375" style="402" customWidth="1"/>
    <col min="22" max="16384" width="11.42578125" style="402"/>
  </cols>
  <sheetData>
    <row r="1" spans="1:21" ht="13.5" thickBot="1"/>
    <row r="2" spans="1:21" ht="51.75" thickBot="1">
      <c r="A2" s="659"/>
      <c r="B2" s="656" t="s">
        <v>96</v>
      </c>
      <c r="C2" s="656" t="s">
        <v>4168</v>
      </c>
      <c r="D2" s="656" t="s">
        <v>214</v>
      </c>
      <c r="E2" s="656" t="s">
        <v>3391</v>
      </c>
      <c r="F2" s="656" t="s">
        <v>4168</v>
      </c>
      <c r="G2" s="656" t="s">
        <v>214</v>
      </c>
      <c r="H2" s="656" t="s">
        <v>215</v>
      </c>
      <c r="I2" s="656" t="s">
        <v>4168</v>
      </c>
      <c r="J2" s="656" t="s">
        <v>214</v>
      </c>
      <c r="K2" s="656" t="s">
        <v>216</v>
      </c>
      <c r="L2" s="656" t="s">
        <v>4168</v>
      </c>
      <c r="M2" s="656" t="s">
        <v>214</v>
      </c>
      <c r="N2" s="656" t="s">
        <v>217</v>
      </c>
      <c r="O2" s="656" t="s">
        <v>4168</v>
      </c>
      <c r="P2" s="656" t="s">
        <v>214</v>
      </c>
      <c r="Q2" s="656" t="s">
        <v>4130</v>
      </c>
      <c r="R2" s="656" t="s">
        <v>4168</v>
      </c>
      <c r="S2" s="656" t="s">
        <v>214</v>
      </c>
      <c r="T2" s="657"/>
      <c r="U2" s="660" t="s">
        <v>3451</v>
      </c>
    </row>
    <row r="3" spans="1:21" ht="13.5" thickBot="1">
      <c r="A3" s="661" t="s">
        <v>4167</v>
      </c>
      <c r="B3" s="674">
        <f>V.INTEGRAL!B3</f>
        <v>51646679</v>
      </c>
      <c r="C3" s="685">
        <f>'CA GENERO'!B4</f>
        <v>20003308.894965563</v>
      </c>
      <c r="D3" s="686">
        <f>C3/B3</f>
        <v>0.38731065157094735</v>
      </c>
      <c r="E3" s="674">
        <f>V.INTEGRAL!C3</f>
        <v>21969974</v>
      </c>
      <c r="F3" s="685">
        <f>'CA GENERO'!C4</f>
        <v>7910910.4031311153</v>
      </c>
      <c r="G3" s="686">
        <f>F3/E3</f>
        <v>0.36007827788649704</v>
      </c>
      <c r="H3" s="674">
        <f>V.INTEGRAL!D3</f>
        <v>15087050</v>
      </c>
      <c r="I3" s="685">
        <f>'CA GENERO'!D4</f>
        <v>7543525</v>
      </c>
      <c r="J3" s="687">
        <f>I3/H3</f>
        <v>0.5</v>
      </c>
      <c r="K3" s="674">
        <f>V.INTEGRAL!F3</f>
        <v>31401108</v>
      </c>
      <c r="L3" s="685">
        <f>'CA GENERO'!F4</f>
        <v>11200607.07864989</v>
      </c>
      <c r="M3" s="686">
        <f>L3/K3</f>
        <v>0.356694645254234</v>
      </c>
      <c r="N3" s="674"/>
      <c r="O3" s="674"/>
      <c r="P3" s="686"/>
      <c r="Q3" s="674">
        <f>V.INTEGRAL!H3</f>
        <v>5158521</v>
      </c>
      <c r="R3" s="685">
        <f>'CA GENERO'!H4</f>
        <v>1857471.3581213306</v>
      </c>
      <c r="S3" s="686">
        <f>R3/Q3</f>
        <v>0.36007827788649704</v>
      </c>
      <c r="T3" s="663" t="s">
        <v>218</v>
      </c>
      <c r="U3" s="664">
        <f>B3-SUM(H3:Q3)</f>
        <v>-18744132.935344547</v>
      </c>
    </row>
    <row r="4" spans="1:21" ht="13.5" thickBot="1">
      <c r="A4" s="665" t="s">
        <v>3443</v>
      </c>
      <c r="B4" s="675">
        <f>V.INTEGRAL!B4</f>
        <v>16433281.94495758</v>
      </c>
      <c r="C4" s="689">
        <f>'CA GENERO'!B7</f>
        <v>6287489.3356685182</v>
      </c>
      <c r="D4" s="686">
        <f>C4/B4</f>
        <v>0.38260703837055404</v>
      </c>
      <c r="E4" s="675"/>
      <c r="F4" s="675"/>
      <c r="G4" s="686"/>
      <c r="H4" s="675">
        <f>V.INTEGRAL!D4</f>
        <v>8244725.6033184826</v>
      </c>
      <c r="I4" s="689">
        <f>'CA GENERO'!D7</f>
        <v>4122362.8016592413</v>
      </c>
      <c r="J4" s="687">
        <f>I4/H4</f>
        <v>0.5</v>
      </c>
      <c r="K4" s="675">
        <f>V.INTEGRAL!F4</f>
        <v>4621918.3507390125</v>
      </c>
      <c r="L4" s="689">
        <f>'CA GENERO'!F7</f>
        <v>1222075.9852775624</v>
      </c>
      <c r="M4" s="686">
        <f>L4/K4</f>
        <v>0.2644088217357109</v>
      </c>
      <c r="N4" s="675">
        <f>V.INTEGRAL!G4</f>
        <v>1667937.615745855</v>
      </c>
      <c r="O4" s="675"/>
      <c r="P4" s="686">
        <f t="shared" ref="P4:P6" si="0">O4/N4</f>
        <v>0</v>
      </c>
      <c r="Q4" s="675">
        <f>V.INTEGRAL!H4</f>
        <v>1898700.3751542289</v>
      </c>
      <c r="R4" s="689">
        <f>'CA GENERO'!H7</f>
        <v>502033.12902368192</v>
      </c>
      <c r="S4" s="686">
        <f>R4/Q4</f>
        <v>0.2644088217357109</v>
      </c>
      <c r="T4" s="666" t="s">
        <v>219</v>
      </c>
      <c r="U4" s="664">
        <f>B4-SUM(H4:Q4)</f>
        <v>-5344439.5513456278</v>
      </c>
    </row>
    <row r="5" spans="1:21" ht="13.5" thickBot="1">
      <c r="A5" s="667" t="s">
        <v>3444</v>
      </c>
      <c r="B5" s="676">
        <f>V.INTEGRAL!B5</f>
        <v>1878751.9668985982</v>
      </c>
      <c r="C5" s="690"/>
      <c r="D5" s="686">
        <f t="shared" ref="D5:D6" si="1">C5/B5</f>
        <v>0</v>
      </c>
      <c r="E5" s="684"/>
      <c r="F5" s="684"/>
      <c r="G5" s="686"/>
      <c r="H5" s="676">
        <f>V.INTEGRAL!D5</f>
        <v>942586.78793780145</v>
      </c>
      <c r="I5" s="690"/>
      <c r="J5" s="686">
        <f t="shared" ref="J5:J6" si="2">I5/H5</f>
        <v>0</v>
      </c>
      <c r="K5" s="676">
        <f>V.INTEGRAL!F5</f>
        <v>528405.59916031174</v>
      </c>
      <c r="L5" s="690"/>
      <c r="M5" s="686">
        <f t="shared" ref="M5:M6" si="3">L5/K5</f>
        <v>0</v>
      </c>
      <c r="N5" s="676">
        <f>V.INTEGRAL!G5</f>
        <v>190688.69424516967</v>
      </c>
      <c r="O5" s="676"/>
      <c r="P5" s="686">
        <f t="shared" si="0"/>
        <v>0</v>
      </c>
      <c r="Q5" s="676">
        <f>V.INTEGRAL!H5</f>
        <v>217070.8855553153</v>
      </c>
      <c r="R5" s="690"/>
      <c r="S5" s="686">
        <f t="shared" ref="S5:S6" si="4">R5/Q5</f>
        <v>0</v>
      </c>
      <c r="T5" s="668" t="s">
        <v>220</v>
      </c>
      <c r="U5" s="664">
        <f>B5-SUM(H5:Q5)</f>
        <v>0</v>
      </c>
    </row>
    <row r="6" spans="1:21" ht="13.5" thickBot="1">
      <c r="A6" s="665" t="s">
        <v>3442</v>
      </c>
      <c r="B6" s="675">
        <f>V.INTEGRAL!B6</f>
        <v>31813597.498053078</v>
      </c>
      <c r="C6" s="689">
        <f>'CA GENERO'!B13</f>
        <v>11576476.020714447</v>
      </c>
      <c r="D6" s="686">
        <f t="shared" si="1"/>
        <v>0.36388453149389666</v>
      </c>
      <c r="E6" s="675"/>
      <c r="F6" s="675"/>
      <c r="G6" s="686"/>
      <c r="H6" s="675">
        <f>V.INTEGRAL!D6</f>
        <v>11891117.982099054</v>
      </c>
      <c r="I6" s="689">
        <f>'CA GENERO'!D13</f>
        <v>5945558.9910495272</v>
      </c>
      <c r="J6" s="687">
        <f t="shared" si="2"/>
        <v>0.5</v>
      </c>
      <c r="K6" s="675">
        <f>V.INTEGRAL!F6</f>
        <v>10360174.491537362</v>
      </c>
      <c r="L6" s="689">
        <f>'CA GENERO'!F13</f>
        <v>2928213.9769791728</v>
      </c>
      <c r="M6" s="686">
        <f t="shared" si="3"/>
        <v>0.28264137629834946</v>
      </c>
      <c r="N6" s="675">
        <f>V.INTEGRAL!G6</f>
        <v>5007882.7164510135</v>
      </c>
      <c r="O6" s="689">
        <f>'CA GENERO'!G13</f>
        <v>1415434.8633184314</v>
      </c>
      <c r="P6" s="686">
        <f t="shared" si="0"/>
        <v>0.28264137629834946</v>
      </c>
      <c r="Q6" s="675">
        <f>V.INTEGRAL!H6</f>
        <v>4554422.3079656474</v>
      </c>
      <c r="R6" s="689">
        <f>'CA GENERO'!H13</f>
        <v>1287268.1893673157</v>
      </c>
      <c r="S6" s="686">
        <f t="shared" si="4"/>
        <v>0.28264137629834946</v>
      </c>
      <c r="T6" s="666" t="s">
        <v>221</v>
      </c>
      <c r="U6" s="664">
        <f>B6-SUM(H6:Q6)</f>
        <v>-10289208.896629881</v>
      </c>
    </row>
    <row r="7" spans="1:21" ht="13.5" thickBot="1">
      <c r="A7" s="669" t="s">
        <v>4125</v>
      </c>
      <c r="B7" s="677">
        <f>V.INTEGRAL!B7</f>
        <v>101772310.40990926</v>
      </c>
      <c r="C7" s="681">
        <f>SUM(C3:C6)</f>
        <v>37867274.251348525</v>
      </c>
      <c r="D7" s="686">
        <f t="shared" ref="D7:D13" si="5">C7/B7</f>
        <v>0.37207835902349234</v>
      </c>
      <c r="E7" s="677">
        <f>V.INTEGRAL!C7</f>
        <v>21969974</v>
      </c>
      <c r="F7" s="681">
        <f>SUM(F3:F6)</f>
        <v>7910910.4031311153</v>
      </c>
      <c r="G7" s="686">
        <f>F7/E7</f>
        <v>0.36007827788649704</v>
      </c>
      <c r="H7" s="677">
        <f>V.INTEGRAL!D7</f>
        <v>36165480.373355336</v>
      </c>
      <c r="I7" s="681">
        <f>SUM(I3:I6)</f>
        <v>17611446.792708769</v>
      </c>
      <c r="J7" s="688">
        <f>I7/H7</f>
        <v>0.48696841880424402</v>
      </c>
      <c r="K7" s="677">
        <f>V.INTEGRAL!F7</f>
        <v>46911606.441436686</v>
      </c>
      <c r="L7" s="681">
        <f>SUM(L3:L6)</f>
        <v>15350897.040906627</v>
      </c>
      <c r="M7" s="686">
        <f>L7/K7</f>
        <v>0.32723025718742577</v>
      </c>
      <c r="N7" s="677">
        <f>V.INTEGRAL!G7</f>
        <v>6866509.0264420379</v>
      </c>
      <c r="O7" s="681">
        <f>SUM(O3:O6)</f>
        <v>1415434.8633184314</v>
      </c>
      <c r="P7" s="686">
        <f>O7/N7</f>
        <v>0.20613602310399284</v>
      </c>
      <c r="Q7" s="677">
        <f>V.INTEGRAL!H7</f>
        <v>11828714.568675192</v>
      </c>
      <c r="R7" s="681">
        <f>SUM(R3:R6)</f>
        <v>3646772.6765123284</v>
      </c>
      <c r="S7" s="686">
        <f>R7/Q7</f>
        <v>0.30829830708483857</v>
      </c>
      <c r="T7" s="671" t="s">
        <v>18</v>
      </c>
      <c r="U7" s="664"/>
    </row>
    <row r="8" spans="1:21" ht="15.75" customHeight="1" thickBot="1">
      <c r="A8" s="669" t="s">
        <v>4182</v>
      </c>
      <c r="B8" s="677">
        <f>V.INTEGRAL!B8</f>
        <v>74179988</v>
      </c>
      <c r="C8" s="681">
        <f>'CA GENERO'!B19</f>
        <v>20966333.902115047</v>
      </c>
      <c r="D8" s="686">
        <f t="shared" si="5"/>
        <v>0.28264137629834946</v>
      </c>
      <c r="E8" s="677"/>
      <c r="F8" s="681"/>
      <c r="G8" s="686"/>
      <c r="H8" s="677"/>
      <c r="I8" s="681"/>
      <c r="J8" s="662"/>
      <c r="K8" s="677"/>
      <c r="L8" s="681"/>
      <c r="M8" s="686"/>
      <c r="N8" s="677">
        <f>V.INTEGRAL!G8</f>
        <v>0</v>
      </c>
      <c r="O8" s="681"/>
      <c r="P8" s="686"/>
      <c r="Q8" s="677">
        <f>V.INTEGRAL!H8</f>
        <v>0</v>
      </c>
      <c r="R8" s="681"/>
      <c r="S8" s="686"/>
      <c r="T8" s="670"/>
      <c r="U8" s="664"/>
    </row>
    <row r="9" spans="1:21" ht="13.5" thickBot="1">
      <c r="A9" s="669" t="s">
        <v>4183</v>
      </c>
      <c r="B9" s="677">
        <f>B7+B8</f>
        <v>175952298.40990925</v>
      </c>
      <c r="C9" s="681">
        <f>'CA GENERO'!B22</f>
        <v>58833608.153463572</v>
      </c>
      <c r="D9" s="686">
        <f t="shared" si="5"/>
        <v>0.33437249007342429</v>
      </c>
      <c r="E9" s="677">
        <f>E7+E8</f>
        <v>21969974</v>
      </c>
      <c r="F9" s="681">
        <f>'CA GENERO'!C22</f>
        <v>7910910.4031311153</v>
      </c>
      <c r="G9" s="686">
        <f t="shared" ref="G9" si="6">F9/E9</f>
        <v>0.36007827788649704</v>
      </c>
      <c r="H9" s="677">
        <f>H7+H8</f>
        <v>36165480.373355336</v>
      </c>
      <c r="I9" s="681">
        <f>'CA GENERO'!D22</f>
        <v>17611446.792708769</v>
      </c>
      <c r="J9" s="688">
        <f t="shared" ref="J9:J10" si="7">I9/H9</f>
        <v>0.48696841880424402</v>
      </c>
      <c r="K9" s="677">
        <f>K7+K8</f>
        <v>46911606.441436686</v>
      </c>
      <c r="L9" s="681">
        <f>'CA GENERO'!F22</f>
        <v>15350897.040906627</v>
      </c>
      <c r="M9" s="686">
        <f t="shared" ref="M9" si="8">L9/K9</f>
        <v>0.32723025718742577</v>
      </c>
      <c r="N9" s="677">
        <f>N7+N8</f>
        <v>6866509.0264420379</v>
      </c>
      <c r="O9" s="681">
        <f>'CA GENERO'!G22</f>
        <v>1856452.2830264638</v>
      </c>
      <c r="P9" s="686">
        <f t="shared" ref="P9:P17" si="9">O9/N9</f>
        <v>0.27036333541214413</v>
      </c>
      <c r="Q9" s="677">
        <f>Q7+Q8</f>
        <v>11828714.568675192</v>
      </c>
      <c r="R9" s="681">
        <f>'CA GENERO'!H22</f>
        <v>3646772.6765123284</v>
      </c>
      <c r="S9" s="686">
        <f t="shared" ref="S9:S17" si="10">R9/Q9</f>
        <v>0.30829830708483857</v>
      </c>
      <c r="T9" s="670"/>
      <c r="U9" s="664"/>
    </row>
    <row r="10" spans="1:21" ht="13.5" thickBot="1">
      <c r="A10" s="661" t="s">
        <v>3389</v>
      </c>
      <c r="B10" s="674">
        <f>V.INTEGRAL!B10</f>
        <v>5841337</v>
      </c>
      <c r="C10" s="685">
        <f>'CA GENERO'!B25</f>
        <v>2920668.5</v>
      </c>
      <c r="D10" s="687">
        <f t="shared" si="5"/>
        <v>0.5</v>
      </c>
      <c r="E10" s="674">
        <f>V.INTEGRAL!C10</f>
        <v>0</v>
      </c>
      <c r="F10" s="674"/>
      <c r="G10" s="662"/>
      <c r="H10" s="674">
        <f>V.INTEGRAL!D10</f>
        <v>5841337</v>
      </c>
      <c r="I10" s="685">
        <f>'CA GENERO'!B25</f>
        <v>2920668.5</v>
      </c>
      <c r="J10" s="687">
        <f t="shared" si="7"/>
        <v>0.5</v>
      </c>
      <c r="K10" s="674">
        <f>V.INTEGRAL!F10</f>
        <v>0</v>
      </c>
      <c r="L10" s="674"/>
      <c r="M10" s="686"/>
      <c r="N10" s="674">
        <f>V.INTEGRAL!G10</f>
        <v>0</v>
      </c>
      <c r="O10" s="674"/>
      <c r="P10" s="686"/>
      <c r="Q10" s="674">
        <f>V.INTEGRAL!H10</f>
        <v>0</v>
      </c>
      <c r="R10" s="674"/>
      <c r="S10" s="686"/>
      <c r="T10" s="663"/>
    </row>
    <row r="11" spans="1:21" ht="13.5" thickBot="1">
      <c r="A11" s="665" t="s">
        <v>3390</v>
      </c>
      <c r="B11" s="675">
        <f>V.INTEGRAL!B11</f>
        <v>45969005.174822591</v>
      </c>
      <c r="C11" s="689">
        <f>'CA GENERO'!B28</f>
        <v>33035208.299250826</v>
      </c>
      <c r="D11" s="687">
        <f t="shared" si="5"/>
        <v>0.71864092280474978</v>
      </c>
      <c r="E11" s="675">
        <f>V.INTEGRAL!C11</f>
        <v>39484378</v>
      </c>
      <c r="F11" s="689">
        <f>'CA GENERO'!C28</f>
        <v>28851073.477495104</v>
      </c>
      <c r="G11" s="687">
        <f>F11/E11</f>
        <v>0.73069590908827542</v>
      </c>
      <c r="H11" s="675">
        <f>V.INTEGRAL!D11</f>
        <v>10939941.674822589</v>
      </c>
      <c r="I11" s="689">
        <f>'CA GENERO'!D28</f>
        <v>5469970.8374112947</v>
      </c>
      <c r="J11" s="687">
        <f>I11/H11</f>
        <v>0.5</v>
      </c>
      <c r="K11" s="675">
        <f>V.INTEGRAL!F11</f>
        <v>413694</v>
      </c>
      <c r="L11" s="689">
        <f>'CA GENERO'!F34</f>
        <v>148962.22309197651</v>
      </c>
      <c r="M11" s="686">
        <f>L11/K11</f>
        <v>0.36007827788649704</v>
      </c>
      <c r="N11" s="675">
        <f>V.INTEGRAL!G11</f>
        <v>0</v>
      </c>
      <c r="O11" s="675"/>
      <c r="P11" s="686"/>
      <c r="Q11" s="675">
        <f>V.INTEGRAL!H11</f>
        <v>0</v>
      </c>
      <c r="R11" s="675"/>
      <c r="S11" s="686"/>
      <c r="T11" s="666"/>
    </row>
    <row r="12" spans="1:21" ht="13.5" thickBot="1">
      <c r="A12" s="661" t="s">
        <v>3392</v>
      </c>
      <c r="B12" s="674">
        <f>V.INTEGRAL!B12</f>
        <v>278530.5</v>
      </c>
      <c r="C12" s="685">
        <f>'CA GENERO'!B31</f>
        <v>1500</v>
      </c>
      <c r="D12" s="686">
        <f t="shared" si="5"/>
        <v>5.3854066251272301E-3</v>
      </c>
      <c r="E12" s="674">
        <f>V.INTEGRAL!C12</f>
        <v>0</v>
      </c>
      <c r="F12" s="674"/>
      <c r="G12" s="687"/>
      <c r="H12" s="674">
        <f>V.INTEGRAL!D12</f>
        <v>0</v>
      </c>
      <c r="I12" s="674"/>
      <c r="J12" s="662"/>
      <c r="K12" s="674">
        <f>V.INTEGRAL!F12</f>
        <v>0</v>
      </c>
      <c r="L12" s="674"/>
      <c r="M12" s="686"/>
      <c r="N12" s="674">
        <f>V.INTEGRAL!G12</f>
        <v>0</v>
      </c>
      <c r="O12" s="674"/>
      <c r="P12" s="686"/>
      <c r="Q12" s="674">
        <f>V.INTEGRAL!H12</f>
        <v>0</v>
      </c>
      <c r="R12" s="674"/>
      <c r="S12" s="686"/>
      <c r="T12" s="663"/>
    </row>
    <row r="13" spans="1:21" ht="13.5" thickBot="1">
      <c r="A13" s="669" t="s">
        <v>4126</v>
      </c>
      <c r="B13" s="677">
        <f>V.INTEGRAL!B13</f>
        <v>52088872.674822591</v>
      </c>
      <c r="C13" s="681">
        <f>'CA GENERO'!B34</f>
        <v>35957376.799250826</v>
      </c>
      <c r="D13" s="687">
        <f t="shared" si="5"/>
        <v>0.69030821656908303</v>
      </c>
      <c r="E13" s="677">
        <f>V.INTEGRAL!C13</f>
        <v>39484378</v>
      </c>
      <c r="F13" s="681">
        <f>'CA GENERO'!C34</f>
        <v>28851073.477495104</v>
      </c>
      <c r="G13" s="687">
        <f t="shared" ref="G13:G17" si="11">F13/E13</f>
        <v>0.73069590908827542</v>
      </c>
      <c r="H13" s="677">
        <f>V.INTEGRAL!D13</f>
        <v>16781278.674822591</v>
      </c>
      <c r="I13" s="681">
        <f>'CA GENERO'!D34</f>
        <v>8390639.3374112956</v>
      </c>
      <c r="J13" s="687">
        <f t="shared" ref="J13:J17" si="12">I13/H13</f>
        <v>0.5</v>
      </c>
      <c r="K13" s="677">
        <f>V.INTEGRAL!F13</f>
        <v>413694</v>
      </c>
      <c r="L13" s="681">
        <f>'CA GENERO'!F34</f>
        <v>148962.22309197651</v>
      </c>
      <c r="M13" s="686">
        <f t="shared" ref="M13:M17" si="13">L13/K13</f>
        <v>0.36007827788649704</v>
      </c>
      <c r="N13" s="677">
        <f>V.INTEGRAL!G13</f>
        <v>0</v>
      </c>
      <c r="O13" s="677"/>
      <c r="P13" s="686"/>
      <c r="Q13" s="677">
        <f>V.INTEGRAL!H13</f>
        <v>0</v>
      </c>
      <c r="R13" s="677"/>
      <c r="S13" s="686"/>
      <c r="T13" s="671" t="s">
        <v>222</v>
      </c>
      <c r="U13" s="672">
        <f>(SUM(E13:Q13))/B13</f>
        <v>1.8059524515120551</v>
      </c>
    </row>
    <row r="14" spans="1:21" ht="13.5" thickBot="1">
      <c r="A14" s="669" t="s">
        <v>4195</v>
      </c>
      <c r="B14" s="677">
        <f>V.INTEGRAL!B14</f>
        <v>126268860.6748226</v>
      </c>
      <c r="C14" s="681">
        <f>'CA GENERO'!B37</f>
        <v>56923710.701365873</v>
      </c>
      <c r="D14" s="688">
        <f t="shared" ref="D14:D17" si="14">C14/B14</f>
        <v>0.45081352914049211</v>
      </c>
      <c r="E14" s="677">
        <f>V.INTEGRAL!C14</f>
        <v>39484378</v>
      </c>
      <c r="F14" s="681">
        <f>'CA GENERO'!C37</f>
        <v>28851073.477495104</v>
      </c>
      <c r="G14" s="687">
        <f t="shared" si="11"/>
        <v>0.73069590908827542</v>
      </c>
      <c r="H14" s="677">
        <f>V.INTEGRAL!D14</f>
        <v>16781278.674822591</v>
      </c>
      <c r="I14" s="681">
        <f>'CA GENERO'!D37</f>
        <v>8390639.3374112956</v>
      </c>
      <c r="J14" s="687">
        <f t="shared" si="12"/>
        <v>0.5</v>
      </c>
      <c r="K14" s="677">
        <f>V.INTEGRAL!F14</f>
        <v>413694</v>
      </c>
      <c r="L14" s="681">
        <f>'CA GENERO'!F37</f>
        <v>148962.22309197651</v>
      </c>
      <c r="M14" s="686">
        <f t="shared" si="13"/>
        <v>0.36007827788649704</v>
      </c>
      <c r="N14" s="677">
        <f>V.INTEGRAL!G14</f>
        <v>0</v>
      </c>
      <c r="O14" s="677"/>
      <c r="P14" s="686"/>
      <c r="Q14" s="677">
        <f>V.INTEGRAL!H14</f>
        <v>0</v>
      </c>
      <c r="R14" s="677"/>
      <c r="S14" s="686"/>
      <c r="T14" s="671" t="s">
        <v>222</v>
      </c>
      <c r="U14" s="660" t="s">
        <v>3454</v>
      </c>
    </row>
    <row r="15" spans="1:21" ht="13.5" thickBot="1">
      <c r="A15" s="673" t="s">
        <v>223</v>
      </c>
      <c r="B15" s="678">
        <f>V.INTEGRAL!B15</f>
        <v>228041171.08473188</v>
      </c>
      <c r="C15" s="682">
        <f>'CA GENERO'!B40</f>
        <v>94790984.952714399</v>
      </c>
      <c r="D15" s="688">
        <f t="shared" si="14"/>
        <v>0.41567487354067956</v>
      </c>
      <c r="E15" s="678">
        <f>V.INTEGRAL!C15</f>
        <v>61454352</v>
      </c>
      <c r="F15" s="682">
        <f>'CA GENERO'!C40</f>
        <v>36761983.880626217</v>
      </c>
      <c r="G15" s="687">
        <f t="shared" si="11"/>
        <v>0.59819984564520701</v>
      </c>
      <c r="H15" s="678">
        <f>V.INTEGRAL!D15</f>
        <v>52946759.048177928</v>
      </c>
      <c r="I15" s="682">
        <f>'CA GENERO'!D40</f>
        <v>26002086.130120065</v>
      </c>
      <c r="J15" s="688">
        <f t="shared" si="12"/>
        <v>0.49109873007448757</v>
      </c>
      <c r="K15" s="678">
        <f>V.INTEGRAL!F15</f>
        <v>47325300.441436686</v>
      </c>
      <c r="L15" s="682">
        <f>'CA GENERO'!F40</f>
        <v>15499859.263998603</v>
      </c>
      <c r="M15" s="686">
        <f t="shared" si="13"/>
        <v>0.32751739808137315</v>
      </c>
      <c r="N15" s="678">
        <f>V.INTEGRAL!G15</f>
        <v>6866509.0264420379</v>
      </c>
      <c r="O15" s="682">
        <f>'CA GENERO'!G40</f>
        <v>1856452.2830264638</v>
      </c>
      <c r="P15" s="686">
        <f t="shared" si="9"/>
        <v>0.27036333541214413</v>
      </c>
      <c r="Q15" s="678">
        <f>V.INTEGRAL!H15</f>
        <v>11828714.568675192</v>
      </c>
      <c r="R15" s="682">
        <f>'CA GENERO'!H40</f>
        <v>3646772.6765123284</v>
      </c>
      <c r="S15" s="686">
        <f t="shared" si="10"/>
        <v>0.30829830708483857</v>
      </c>
      <c r="T15" s="660" t="s">
        <v>202</v>
      </c>
      <c r="U15" s="672">
        <f>(SUM(E15:S15))/B15</f>
        <v>1.1585135704128187</v>
      </c>
    </row>
    <row r="16" spans="1:21" ht="13.5" thickBot="1">
      <c r="A16" s="665" t="s">
        <v>224</v>
      </c>
      <c r="B16" s="679">
        <f>V.INTEGRAL!B16</f>
        <v>53019572.27720017</v>
      </c>
      <c r="C16" s="691">
        <f>'CA GENERO'!B43</f>
        <v>17299354.753870375</v>
      </c>
      <c r="D16" s="686">
        <f t="shared" si="14"/>
        <v>0.32628242761795268</v>
      </c>
      <c r="E16" s="679">
        <f>V.INTEGRAL!C16</f>
        <v>14288136.840000002</v>
      </c>
      <c r="F16" s="691">
        <f>'CA GENERO'!C43</f>
        <v>11994789.344622767</v>
      </c>
      <c r="G16" s="687">
        <f t="shared" si="11"/>
        <v>0.8394928939260331</v>
      </c>
      <c r="H16" s="679">
        <f>V.INTEGRAL!D16</f>
        <v>12310121.47870137</v>
      </c>
      <c r="I16" s="691">
        <f>'CA GENERO'!D43</f>
        <v>8484023.7856666707</v>
      </c>
      <c r="J16" s="687">
        <f t="shared" si="12"/>
        <v>0.68919090687654816</v>
      </c>
      <c r="K16" s="679">
        <f>V.INTEGRAL!F16</f>
        <v>11003132.352634031</v>
      </c>
      <c r="L16" s="691">
        <f>'CA GENERO'!F43</f>
        <v>5057331.7083940776</v>
      </c>
      <c r="M16" s="686">
        <f t="shared" si="13"/>
        <v>0.45962654508862716</v>
      </c>
      <c r="N16" s="679">
        <f>V.INTEGRAL!G16</f>
        <v>1596463.3486477742</v>
      </c>
      <c r="O16" s="691">
        <f>'CA GENERO'!G43</f>
        <v>605727.75766276522</v>
      </c>
      <c r="P16" s="686">
        <f t="shared" si="9"/>
        <v>0.3794185179232738</v>
      </c>
      <c r="Q16" s="679">
        <f>V.INTEGRAL!H16</f>
        <v>2750176.1372169829</v>
      </c>
      <c r="R16" s="691">
        <f>'CA GENERO'!H43</f>
        <v>1189877.8418632613</v>
      </c>
      <c r="S16" s="686">
        <f t="shared" si="10"/>
        <v>0.43265514006944589</v>
      </c>
      <c r="T16" s="666" t="s">
        <v>225</v>
      </c>
    </row>
    <row r="17" spans="1:21" ht="13.5" thickBot="1">
      <c r="A17" s="673" t="s">
        <v>226</v>
      </c>
      <c r="B17" s="680">
        <f>V.INTEGRAL!B17</f>
        <v>281060743.36193204</v>
      </c>
      <c r="C17" s="683">
        <f>'CA GENERO'!B46</f>
        <v>112090339.70658478</v>
      </c>
      <c r="D17" s="686">
        <f t="shared" si="14"/>
        <v>0.39881179550657492</v>
      </c>
      <c r="E17" s="680">
        <f>V.INTEGRAL!C17</f>
        <v>75742488.840000004</v>
      </c>
      <c r="F17" s="683">
        <f>'CA GENERO'!C46</f>
        <v>48756773.225248985</v>
      </c>
      <c r="G17" s="687">
        <f t="shared" si="11"/>
        <v>0.64371760120325328</v>
      </c>
      <c r="H17" s="680">
        <f>V.INTEGRAL!D17</f>
        <v>65256880.526879296</v>
      </c>
      <c r="I17" s="683">
        <f>'CA GENERO'!D46</f>
        <v>34486109.915786736</v>
      </c>
      <c r="J17" s="688">
        <f t="shared" si="12"/>
        <v>0.52846703117507909</v>
      </c>
      <c r="K17" s="680">
        <f>V.INTEGRAL!F17</f>
        <v>58328432.794070721</v>
      </c>
      <c r="L17" s="692">
        <f>'CA GENERO'!F46</f>
        <v>20557190.972392682</v>
      </c>
      <c r="M17" s="686">
        <f t="shared" si="13"/>
        <v>0.35243859619836021</v>
      </c>
      <c r="N17" s="680">
        <f>V.INTEGRAL!G17</f>
        <v>8462972.375089813</v>
      </c>
      <c r="O17" s="683">
        <f>'CA GENERO'!G46</f>
        <v>2462180.040689229</v>
      </c>
      <c r="P17" s="686">
        <f t="shared" si="9"/>
        <v>0.29093561122053163</v>
      </c>
      <c r="Q17" s="693">
        <f>V.INTEGRAL!H17</f>
        <v>14578890.705892175</v>
      </c>
      <c r="R17" s="683">
        <f>'CA GENERO'!H46</f>
        <v>4836650.5183755895</v>
      </c>
      <c r="S17" s="686">
        <f t="shared" si="10"/>
        <v>0.33175710113670159</v>
      </c>
      <c r="T17" s="660" t="s">
        <v>117</v>
      </c>
      <c r="U17" s="672">
        <f>(SUM(E17:S17))/B17</f>
        <v>1.1864644207260271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AA56"/>
  <sheetViews>
    <sheetView tabSelected="1" topLeftCell="A22" zoomScale="90" zoomScaleNormal="90" workbookViewId="0">
      <selection activeCell="B41" sqref="B41:I56"/>
    </sheetView>
  </sheetViews>
  <sheetFormatPr baseColWidth="10" defaultRowHeight="15"/>
  <cols>
    <col min="2" max="2" width="51.140625" customWidth="1"/>
    <col min="3" max="3" width="8.140625" style="211" customWidth="1"/>
    <col min="4" max="4" width="10.85546875" customWidth="1"/>
    <col min="5" max="5" width="10" customWidth="1"/>
    <col min="6" max="6" width="9.7109375" customWidth="1"/>
    <col min="7" max="7" width="9" customWidth="1"/>
    <col min="8" max="8" width="9.28515625" customWidth="1"/>
    <col min="9" max="9" width="11.42578125" style="211"/>
    <col min="11" max="11" width="46" customWidth="1"/>
    <col min="12" max="12" width="8.140625" customWidth="1"/>
    <col min="13" max="13" width="10.85546875" customWidth="1"/>
    <col min="14" max="14" width="10.85546875" style="211" customWidth="1"/>
    <col min="15" max="15" width="10" customWidth="1"/>
    <col min="16" max="16" width="10" style="211" customWidth="1"/>
    <col min="17" max="17" width="9.7109375" customWidth="1"/>
    <col min="18" max="18" width="9.7109375" style="211" customWidth="1"/>
    <col min="19" max="19" width="9" customWidth="1"/>
    <col min="20" max="20" width="9" style="211" customWidth="1"/>
    <col min="21" max="21" width="9.28515625" customWidth="1"/>
    <col min="22" max="22" width="9.28515625" style="211" customWidth="1"/>
  </cols>
  <sheetData>
    <row r="3" spans="2:9" ht="15.75" thickBot="1"/>
    <row r="4" spans="2:9" ht="21" customHeight="1" thickBot="1">
      <c r="B4" s="2"/>
      <c r="C4" s="155" t="s">
        <v>4197</v>
      </c>
      <c r="D4" s="155" t="s">
        <v>3393</v>
      </c>
      <c r="E4" s="155" t="s">
        <v>193</v>
      </c>
      <c r="F4" s="155" t="s">
        <v>215</v>
      </c>
      <c r="G4" s="155" t="s">
        <v>216</v>
      </c>
      <c r="H4" s="155" t="s">
        <v>217</v>
      </c>
      <c r="I4" s="155"/>
    </row>
    <row r="5" spans="2:9" ht="21" customHeight="1" thickBot="1">
      <c r="B5" s="505" t="s">
        <v>245</v>
      </c>
      <c r="C5" s="167"/>
      <c r="D5" s="499"/>
      <c r="E5" s="167"/>
      <c r="F5" s="182">
        <f>(V.INTEGRAL!D7+V.INTEGRAL!D10)/FINANCIACIÓN!C15</f>
        <v>2.6736847588902988</v>
      </c>
      <c r="G5" s="167"/>
      <c r="H5" s="167"/>
      <c r="I5" s="167"/>
    </row>
    <row r="6" spans="2:9" ht="21" customHeight="1" thickBot="1">
      <c r="B6" s="506" t="s">
        <v>246</v>
      </c>
      <c r="C6" s="500"/>
      <c r="D6" s="500">
        <f>V.INTEGRAL!B7/FINANCIACIÓN!C$12</f>
        <v>1.1306493540548048</v>
      </c>
      <c r="E6" s="500"/>
      <c r="F6" s="183">
        <f>V.INTEGRAL!B7/FINANCIACIÓN!C$15</f>
        <v>6.4776884380824988</v>
      </c>
      <c r="G6" s="168"/>
      <c r="H6" s="183"/>
      <c r="I6" s="183"/>
    </row>
    <row r="7" spans="2:9" ht="21" customHeight="1" thickBot="1">
      <c r="B7" s="507" t="s">
        <v>247</v>
      </c>
      <c r="C7" s="167"/>
      <c r="D7" s="501">
        <f>V.INTEGRAL!B14/FINANCIACIÓN!C$12</f>
        <v>1.4027961553020185</v>
      </c>
      <c r="E7" s="167"/>
      <c r="F7" s="182">
        <f>V.INTEGRAL!B14/FINANCIACIÓN!C$15</f>
        <v>8.036865190431099</v>
      </c>
      <c r="G7" s="167"/>
      <c r="H7" s="182"/>
      <c r="I7" s="182"/>
    </row>
    <row r="8" spans="2:9" ht="21" customHeight="1" thickBot="1">
      <c r="B8" s="508" t="s">
        <v>3394</v>
      </c>
      <c r="C8" s="168"/>
      <c r="D8" s="502">
        <f>V.INTEGRAL!B15/FINANCIACIÓN!C$12</f>
        <v>2.5334455093568233</v>
      </c>
      <c r="E8" s="168"/>
      <c r="F8" s="443">
        <f>V.INTEGRAL!B15/FINANCIACIÓN!C$15</f>
        <v>14.514553628513598</v>
      </c>
      <c r="G8" s="168"/>
      <c r="H8" s="443"/>
      <c r="I8" s="443"/>
    </row>
    <row r="9" spans="2:9" ht="21" customHeight="1">
      <c r="B9" s="564" t="s">
        <v>248</v>
      </c>
      <c r="C9" s="556"/>
      <c r="D9" s="555">
        <f>V.INTEGRAL!B17/FINANCIACIÓN!C$12</f>
        <v>3.1224715902822848</v>
      </c>
      <c r="E9" s="556"/>
      <c r="F9" s="557">
        <f>V.INTEGRAL!B17/FINANCIACIÓN!C$15</f>
        <v>17.889187347143011</v>
      </c>
      <c r="G9" s="556"/>
      <c r="H9" s="557"/>
      <c r="I9" s="557"/>
    </row>
    <row r="10" spans="2:9" ht="21" customHeight="1">
      <c r="B10" s="565" t="s">
        <v>4131</v>
      </c>
      <c r="C10" s="603" t="s">
        <v>4165</v>
      </c>
      <c r="D10" s="561">
        <f>(V.INTEGRAL!B6+V.INTEGRAL!B13+V.INTEGRAL!B9)/('DATOS PyG'!B4+'DATOS PyG'!B14)</f>
        <v>1.7331357204831876</v>
      </c>
      <c r="E10" s="562"/>
      <c r="F10" s="561">
        <f>D10</f>
        <v>1.7331357204831876</v>
      </c>
      <c r="G10" s="562"/>
      <c r="H10" s="562"/>
      <c r="I10" s="696"/>
    </row>
    <row r="11" spans="2:9" ht="21" customHeight="1">
      <c r="B11" s="567" t="s">
        <v>4132</v>
      </c>
      <c r="C11" s="604" t="s">
        <v>4166</v>
      </c>
      <c r="D11" s="563">
        <f>D10-1</f>
        <v>0.73313572048318765</v>
      </c>
      <c r="E11" s="562"/>
      <c r="F11" s="563">
        <f>D11</f>
        <v>0.73313572048318765</v>
      </c>
      <c r="G11" s="562"/>
      <c r="H11" s="562"/>
      <c r="I11" s="696"/>
    </row>
    <row r="12" spans="2:9" s="211" customFormat="1" ht="21" customHeight="1" thickBot="1">
      <c r="B12" s="510" t="s">
        <v>4162</v>
      </c>
      <c r="C12" s="570" t="s">
        <v>4163</v>
      </c>
      <c r="D12" s="570">
        <f>SUM(V.INTEGRAL!C15:I15)/V.INTEGRAL!B15</f>
        <v>1.2608924682988369</v>
      </c>
      <c r="E12" s="571"/>
      <c r="F12" s="572"/>
      <c r="G12" s="571"/>
      <c r="H12" s="572"/>
      <c r="I12" s="572"/>
    </row>
    <row r="13" spans="2:9" ht="21" customHeight="1" thickBot="1">
      <c r="B13" s="566" t="s">
        <v>3395</v>
      </c>
      <c r="C13" s="558"/>
      <c r="D13" s="558">
        <f>V.INTEGRAL!B13/V.INTEGRAL!B15</f>
        <v>0.22841872117674858</v>
      </c>
      <c r="E13" s="559"/>
      <c r="F13" s="560"/>
      <c r="G13" s="559"/>
      <c r="H13" s="560"/>
      <c r="I13" s="560"/>
    </row>
    <row r="14" spans="2:9" ht="21" customHeight="1" thickBot="1">
      <c r="B14" s="510" t="s">
        <v>3412</v>
      </c>
      <c r="C14" s="504"/>
      <c r="D14" s="168">
        <f>V.INTEGRAL!B17/'DATOS PyG'!B5</f>
        <v>3.7889025185867116</v>
      </c>
      <c r="E14" s="168"/>
      <c r="F14" s="443"/>
      <c r="G14" s="168"/>
      <c r="H14" s="443"/>
      <c r="I14" s="443"/>
    </row>
    <row r="15" spans="2:9" ht="21" customHeight="1" thickBot="1">
      <c r="B15" s="509" t="s">
        <v>3413</v>
      </c>
      <c r="C15" s="501"/>
      <c r="D15" s="501">
        <f>V.INTEGRAL!B$17/DATOS!D16</f>
        <v>6.423595127668948</v>
      </c>
      <c r="E15" s="185"/>
      <c r="F15" s="182"/>
      <c r="G15" s="185"/>
      <c r="H15" s="182"/>
      <c r="I15" s="182"/>
    </row>
    <row r="16" spans="2:9" ht="21" customHeight="1" thickBot="1">
      <c r="B16" s="510" t="s">
        <v>3414</v>
      </c>
      <c r="C16" s="605"/>
      <c r="D16" s="605">
        <f>V.INTEGRAL!B$17/DATOS!D17</f>
        <v>4.8652887406794392</v>
      </c>
      <c r="E16" s="445"/>
      <c r="F16" s="443"/>
      <c r="G16" s="168"/>
      <c r="H16" s="443"/>
      <c r="I16" s="443"/>
    </row>
    <row r="17" spans="2:23" ht="21" customHeight="1" thickBot="1">
      <c r="B17" s="509" t="s">
        <v>3415</v>
      </c>
      <c r="C17" s="503"/>
      <c r="D17" s="503">
        <f>V.INTEGRAL!B$17/DATOS!D18</f>
        <v>3.517901960906098</v>
      </c>
      <c r="E17" s="185"/>
      <c r="F17" s="182"/>
      <c r="G17" s="185"/>
      <c r="H17" s="182"/>
      <c r="I17" s="182"/>
    </row>
    <row r="18" spans="2:23" ht="15.75" thickBot="1">
      <c r="B18" s="602" t="s">
        <v>4161</v>
      </c>
      <c r="C18" s="606" t="s">
        <v>4164</v>
      </c>
      <c r="D18" s="606">
        <f>GWEI!F8</f>
        <v>0.9906030637223564</v>
      </c>
      <c r="E18" s="445"/>
      <c r="F18" s="443"/>
      <c r="G18" s="168"/>
      <c r="H18" s="443"/>
      <c r="I18" s="443"/>
    </row>
    <row r="20" spans="2:23">
      <c r="B20" t="s">
        <v>3455</v>
      </c>
      <c r="D20" t="s">
        <v>3456</v>
      </c>
    </row>
    <row r="21" spans="2:23">
      <c r="D21" t="s">
        <v>3457</v>
      </c>
    </row>
    <row r="22" spans="2:23" ht="15.75" thickBot="1">
      <c r="D22" t="s">
        <v>3458</v>
      </c>
    </row>
    <row r="23" spans="2:23" ht="28.5" customHeight="1" thickBot="1">
      <c r="B23" s="694" t="s">
        <v>4196</v>
      </c>
      <c r="C23" s="155" t="s">
        <v>4197</v>
      </c>
      <c r="D23" s="155" t="s">
        <v>4202</v>
      </c>
      <c r="E23" s="155" t="s">
        <v>193</v>
      </c>
      <c r="F23" s="155" t="s">
        <v>215</v>
      </c>
      <c r="G23" s="155" t="s">
        <v>216</v>
      </c>
      <c r="H23" s="155" t="s">
        <v>217</v>
      </c>
      <c r="I23" s="155" t="s">
        <v>195</v>
      </c>
      <c r="K23" s="694" t="s">
        <v>4196</v>
      </c>
      <c r="L23" s="155" t="s">
        <v>4197</v>
      </c>
      <c r="M23" s="155" t="s">
        <v>3393</v>
      </c>
      <c r="N23" s="155"/>
      <c r="O23" s="155" t="s">
        <v>193</v>
      </c>
      <c r="P23" s="155"/>
      <c r="Q23" s="155" t="s">
        <v>215</v>
      </c>
      <c r="R23" s="155"/>
      <c r="S23" s="155" t="s">
        <v>216</v>
      </c>
      <c r="T23" s="155"/>
      <c r="U23" s="155" t="s">
        <v>217</v>
      </c>
      <c r="V23" s="155"/>
      <c r="W23" s="155" t="s">
        <v>195</v>
      </c>
    </row>
    <row r="24" spans="2:23" ht="23.45" customHeight="1" thickBot="1">
      <c r="B24" s="661" t="s">
        <v>4167</v>
      </c>
      <c r="C24" s="713">
        <v>0.5</v>
      </c>
      <c r="D24" s="697">
        <f>'CA GENERO(2)'!D3</f>
        <v>0.38731065157094735</v>
      </c>
      <c r="E24" s="697">
        <f>'CA GENERO(2)'!G3</f>
        <v>0.36007827788649704</v>
      </c>
      <c r="F24" s="756">
        <f>'CA GENERO(2)'!J3</f>
        <v>0.5</v>
      </c>
      <c r="G24" s="697">
        <f>'CA GENERO(2)'!M3</f>
        <v>0.356694645254234</v>
      </c>
      <c r="H24" s="695">
        <f>'CA GENERO(2)'!P3</f>
        <v>0</v>
      </c>
      <c r="I24" s="697">
        <f>'CA GENERO(2)'!S3</f>
        <v>0.36007827788649704</v>
      </c>
      <c r="K24" s="661" t="s">
        <v>4167</v>
      </c>
      <c r="L24" s="713">
        <v>0.4</v>
      </c>
      <c r="M24" s="697">
        <f>D24</f>
        <v>0.38731065157094735</v>
      </c>
      <c r="N24" s="697"/>
      <c r="O24" s="697">
        <f>E24</f>
        <v>0.36007827788649704</v>
      </c>
      <c r="P24" s="697"/>
      <c r="Q24" s="698">
        <f>F24</f>
        <v>0.5</v>
      </c>
      <c r="R24" s="698"/>
      <c r="S24" s="697">
        <f>G24</f>
        <v>0.356694645254234</v>
      </c>
      <c r="T24" s="697"/>
      <c r="U24" s="697">
        <f>H24</f>
        <v>0</v>
      </c>
      <c r="V24" s="695"/>
      <c r="W24" s="697">
        <f>I24</f>
        <v>0.36007827788649704</v>
      </c>
    </row>
    <row r="25" spans="2:23" ht="23.45" customHeight="1" thickBot="1">
      <c r="B25" s="665" t="s">
        <v>3443</v>
      </c>
      <c r="C25" s="713">
        <v>0.5</v>
      </c>
      <c r="D25" s="707">
        <f>'CA GENERO(2)'!D4</f>
        <v>0.38260703837055404</v>
      </c>
      <c r="E25" s="706">
        <f>'CA GENERO(2)'!G4</f>
        <v>0</v>
      </c>
      <c r="F25" s="757">
        <f>'CA GENERO(2)'!J4</f>
        <v>0.5</v>
      </c>
      <c r="G25" s="707">
        <f>'CA GENERO(2)'!M4</f>
        <v>0.2644088217357109</v>
      </c>
      <c r="H25" s="706">
        <f>'CA GENERO(2)'!P4</f>
        <v>0</v>
      </c>
      <c r="I25" s="707">
        <f>'CA GENERO(2)'!S4</f>
        <v>0.2644088217357109</v>
      </c>
      <c r="K25" s="665" t="s">
        <v>3443</v>
      </c>
      <c r="L25" s="713">
        <v>0.3</v>
      </c>
      <c r="M25" s="697">
        <f t="shared" ref="M25:M38" si="0">D25</f>
        <v>0.38260703837055404</v>
      </c>
      <c r="N25" s="707"/>
      <c r="O25" s="697">
        <f t="shared" ref="O25:O38" si="1">E25</f>
        <v>0</v>
      </c>
      <c r="P25" s="706"/>
      <c r="Q25" s="698">
        <f t="shared" ref="Q25:Q38" si="2">F25</f>
        <v>0.5</v>
      </c>
      <c r="R25" s="708"/>
      <c r="S25" s="697">
        <f t="shared" ref="S25:S38" si="3">G25</f>
        <v>0.2644088217357109</v>
      </c>
      <c r="T25" s="707"/>
      <c r="U25" s="697">
        <f t="shared" ref="U25:U38" si="4">H25</f>
        <v>0</v>
      </c>
      <c r="V25" s="706"/>
      <c r="W25" s="697">
        <f t="shared" ref="W25:W38" si="5">I25</f>
        <v>0.2644088217357109</v>
      </c>
    </row>
    <row r="26" spans="2:23" ht="23.45" customHeight="1" thickBot="1">
      <c r="B26" s="667" t="s">
        <v>3444</v>
      </c>
      <c r="C26" s="713">
        <v>0.5</v>
      </c>
      <c r="D26" s="695">
        <f>'CA GENERO(2)'!D5</f>
        <v>0</v>
      </c>
      <c r="E26" s="695">
        <f>'CA GENERO(2)'!G5</f>
        <v>0</v>
      </c>
      <c r="F26" s="695">
        <f>'CA GENERO(2)'!J5</f>
        <v>0</v>
      </c>
      <c r="G26" s="695">
        <f>'CA GENERO(2)'!M5</f>
        <v>0</v>
      </c>
      <c r="H26" s="695">
        <f>'CA GENERO(2)'!P5</f>
        <v>0</v>
      </c>
      <c r="I26" s="695">
        <f>'CA GENERO(2)'!S5</f>
        <v>0</v>
      </c>
      <c r="K26" s="667" t="s">
        <v>3444</v>
      </c>
      <c r="L26" s="713">
        <v>0.5</v>
      </c>
      <c r="M26" s="697">
        <f t="shared" si="0"/>
        <v>0</v>
      </c>
      <c r="N26" s="697"/>
      <c r="O26" s="697">
        <f t="shared" si="1"/>
        <v>0</v>
      </c>
      <c r="P26" s="695"/>
      <c r="Q26" s="698">
        <f t="shared" si="2"/>
        <v>0</v>
      </c>
      <c r="R26" s="695"/>
      <c r="S26" s="697">
        <f t="shared" si="3"/>
        <v>0</v>
      </c>
      <c r="T26" s="695"/>
      <c r="U26" s="697">
        <f t="shared" si="4"/>
        <v>0</v>
      </c>
      <c r="V26" s="695"/>
      <c r="W26" s="697">
        <f t="shared" si="5"/>
        <v>0</v>
      </c>
    </row>
    <row r="27" spans="2:23" ht="23.45" customHeight="1" thickBot="1">
      <c r="B27" s="665" t="s">
        <v>3442</v>
      </c>
      <c r="C27" s="713">
        <v>0.5</v>
      </c>
      <c r="D27" s="707">
        <f>'CA GENERO(2)'!D6</f>
        <v>0.36388453149389666</v>
      </c>
      <c r="E27" s="706">
        <f>'CA GENERO(2)'!G6</f>
        <v>0</v>
      </c>
      <c r="F27" s="757">
        <f>'CA GENERO(2)'!J6</f>
        <v>0.5</v>
      </c>
      <c r="G27" s="707">
        <f>'CA GENERO(2)'!M6</f>
        <v>0.28264137629834946</v>
      </c>
      <c r="H27" s="707">
        <f>'CA GENERO(2)'!P6</f>
        <v>0.28264137629834946</v>
      </c>
      <c r="I27" s="707">
        <f>'CA GENERO(2)'!S6</f>
        <v>0.28264137629834946</v>
      </c>
      <c r="K27" s="665" t="s">
        <v>3442</v>
      </c>
      <c r="L27" s="713">
        <v>0.3</v>
      </c>
      <c r="M27" s="697">
        <f t="shared" si="0"/>
        <v>0.36388453149389666</v>
      </c>
      <c r="N27" s="707"/>
      <c r="O27" s="697">
        <f t="shared" si="1"/>
        <v>0</v>
      </c>
      <c r="P27" s="706"/>
      <c r="Q27" s="698">
        <f t="shared" si="2"/>
        <v>0.5</v>
      </c>
      <c r="R27" s="708"/>
      <c r="S27" s="697">
        <f t="shared" si="3"/>
        <v>0.28264137629834946</v>
      </c>
      <c r="T27" s="707"/>
      <c r="U27" s="697">
        <f t="shared" si="4"/>
        <v>0.28264137629834946</v>
      </c>
      <c r="V27" s="707"/>
      <c r="W27" s="697">
        <f t="shared" si="5"/>
        <v>0.28264137629834946</v>
      </c>
    </row>
    <row r="28" spans="2:23" ht="23.45" customHeight="1" thickBot="1">
      <c r="B28" s="669" t="s">
        <v>4125</v>
      </c>
      <c r="C28" s="713">
        <v>0.5</v>
      </c>
      <c r="D28" s="697">
        <f>'CA GENERO(2)'!D7</f>
        <v>0.37207835902349234</v>
      </c>
      <c r="E28" s="697">
        <f>'CA GENERO(2)'!G7</f>
        <v>0.36007827788649704</v>
      </c>
      <c r="F28" s="699">
        <f>'CA GENERO(2)'!J7</f>
        <v>0.48696841880424402</v>
      </c>
      <c r="G28" s="697">
        <f>'CA GENERO(2)'!M7</f>
        <v>0.32723025718742577</v>
      </c>
      <c r="H28" s="697">
        <f>'CA GENERO(2)'!P7</f>
        <v>0.20613602310399284</v>
      </c>
      <c r="I28" s="697">
        <f>'CA GENERO(2)'!S7</f>
        <v>0.30829830708483857</v>
      </c>
      <c r="K28" s="669" t="s">
        <v>4125</v>
      </c>
      <c r="L28" s="713">
        <v>0.4</v>
      </c>
      <c r="M28" s="697">
        <f t="shared" si="0"/>
        <v>0.37207835902349234</v>
      </c>
      <c r="N28" s="697"/>
      <c r="O28" s="697">
        <f t="shared" si="1"/>
        <v>0.36007827788649704</v>
      </c>
      <c r="P28" s="697"/>
      <c r="Q28" s="698">
        <f t="shared" si="2"/>
        <v>0.48696841880424402</v>
      </c>
      <c r="R28" s="699"/>
      <c r="S28" s="697">
        <f t="shared" si="3"/>
        <v>0.32723025718742577</v>
      </c>
      <c r="T28" s="697"/>
      <c r="U28" s="697">
        <f t="shared" si="4"/>
        <v>0.20613602310399284</v>
      </c>
      <c r="V28" s="697"/>
      <c r="W28" s="697">
        <f t="shared" si="5"/>
        <v>0.30829830708483857</v>
      </c>
    </row>
    <row r="29" spans="2:23" ht="23.45" customHeight="1" thickBot="1">
      <c r="B29" s="669" t="s">
        <v>4182</v>
      </c>
      <c r="C29" s="713">
        <v>0.5</v>
      </c>
      <c r="D29" s="697">
        <f>'CA GENERO(2)'!D8</f>
        <v>0.28264137629834946</v>
      </c>
      <c r="E29" s="695">
        <f>'CA GENERO(2)'!G8</f>
        <v>0</v>
      </c>
      <c r="F29" s="695">
        <f>'CA GENERO(2)'!J8</f>
        <v>0</v>
      </c>
      <c r="G29" s="695">
        <f>'CA GENERO(2)'!M8</f>
        <v>0</v>
      </c>
      <c r="H29" s="695">
        <f>'CA GENERO(2)'!P8</f>
        <v>0</v>
      </c>
      <c r="I29" s="695">
        <f>'CA GENERO(2)'!S8</f>
        <v>0</v>
      </c>
      <c r="K29" s="669" t="s">
        <v>4182</v>
      </c>
      <c r="L29" s="713">
        <v>0.3</v>
      </c>
      <c r="M29" s="697">
        <f t="shared" si="0"/>
        <v>0.28264137629834946</v>
      </c>
      <c r="N29" s="697"/>
      <c r="O29" s="697">
        <f t="shared" si="1"/>
        <v>0</v>
      </c>
      <c r="P29" s="695"/>
      <c r="Q29" s="698">
        <f t="shared" si="2"/>
        <v>0</v>
      </c>
      <c r="R29" s="695"/>
      <c r="S29" s="697">
        <f t="shared" si="3"/>
        <v>0</v>
      </c>
      <c r="T29" s="695"/>
      <c r="U29" s="697">
        <f t="shared" si="4"/>
        <v>0</v>
      </c>
      <c r="V29" s="695"/>
      <c r="W29" s="697">
        <f t="shared" si="5"/>
        <v>0</v>
      </c>
    </row>
    <row r="30" spans="2:23" ht="23.45" customHeight="1" thickBot="1">
      <c r="B30" s="669" t="s">
        <v>4183</v>
      </c>
      <c r="C30" s="713">
        <v>0.5</v>
      </c>
      <c r="D30" s="697">
        <f>'CA GENERO(2)'!D9</f>
        <v>0.33437249007342429</v>
      </c>
      <c r="E30" s="697">
        <f>'CA GENERO(2)'!G9</f>
        <v>0.36007827788649704</v>
      </c>
      <c r="F30" s="699">
        <f>'CA GENERO(2)'!J9</f>
        <v>0.48696841880424402</v>
      </c>
      <c r="G30" s="697">
        <f>'CA GENERO(2)'!M9</f>
        <v>0.32723025718742577</v>
      </c>
      <c r="H30" s="697">
        <f>'CA GENERO(2)'!P9</f>
        <v>0.27036333541214413</v>
      </c>
      <c r="I30" s="697">
        <f>'CA GENERO(2)'!S9</f>
        <v>0.30829830708483857</v>
      </c>
      <c r="K30" s="669" t="s">
        <v>4183</v>
      </c>
      <c r="L30" s="713">
        <v>0.4</v>
      </c>
      <c r="M30" s="697">
        <f t="shared" si="0"/>
        <v>0.33437249007342429</v>
      </c>
      <c r="N30" s="697"/>
      <c r="O30" s="697">
        <f t="shared" si="1"/>
        <v>0.36007827788649704</v>
      </c>
      <c r="P30" s="697"/>
      <c r="Q30" s="698">
        <f t="shared" si="2"/>
        <v>0.48696841880424402</v>
      </c>
      <c r="R30" s="699"/>
      <c r="S30" s="697">
        <f t="shared" si="3"/>
        <v>0.32723025718742577</v>
      </c>
      <c r="T30" s="697"/>
      <c r="U30" s="697">
        <f t="shared" si="4"/>
        <v>0.27036333541214413</v>
      </c>
      <c r="V30" s="697"/>
      <c r="W30" s="697">
        <f t="shared" si="5"/>
        <v>0.30829830708483857</v>
      </c>
    </row>
    <row r="31" spans="2:23" ht="23.45" customHeight="1" thickBot="1">
      <c r="B31" s="661" t="s">
        <v>3389</v>
      </c>
      <c r="C31" s="713">
        <v>0.5</v>
      </c>
      <c r="D31" s="756">
        <f>'CA GENERO(2)'!D10</f>
        <v>0.5</v>
      </c>
      <c r="E31" s="695">
        <f>'CA GENERO(2)'!G10</f>
        <v>0</v>
      </c>
      <c r="F31" s="756">
        <f>'CA GENERO(2)'!J10</f>
        <v>0.5</v>
      </c>
      <c r="G31" s="695">
        <f>'CA GENERO(2)'!M10</f>
        <v>0</v>
      </c>
      <c r="H31" s="695">
        <f>'CA GENERO(2)'!P10</f>
        <v>0</v>
      </c>
      <c r="I31" s="695">
        <f>'CA GENERO(2)'!S10</f>
        <v>0</v>
      </c>
      <c r="K31" s="661" t="s">
        <v>3389</v>
      </c>
      <c r="L31" s="713">
        <v>0.5</v>
      </c>
      <c r="M31" s="697">
        <f t="shared" si="0"/>
        <v>0.5</v>
      </c>
      <c r="N31" s="698"/>
      <c r="O31" s="697">
        <f t="shared" si="1"/>
        <v>0</v>
      </c>
      <c r="P31" s="695"/>
      <c r="Q31" s="698">
        <f t="shared" si="2"/>
        <v>0.5</v>
      </c>
      <c r="R31" s="698"/>
      <c r="S31" s="697">
        <f t="shared" si="3"/>
        <v>0</v>
      </c>
      <c r="T31" s="695"/>
      <c r="U31" s="697">
        <f t="shared" si="4"/>
        <v>0</v>
      </c>
      <c r="V31" s="695"/>
      <c r="W31" s="697">
        <f t="shared" si="5"/>
        <v>0</v>
      </c>
    </row>
    <row r="32" spans="2:23" ht="23.45" customHeight="1" thickBot="1">
      <c r="B32" s="709" t="s">
        <v>3390</v>
      </c>
      <c r="C32" s="713">
        <v>0.5</v>
      </c>
      <c r="D32" s="761">
        <f>'CA GENERO(2)'!D11</f>
        <v>0.71864092280474978</v>
      </c>
      <c r="E32" s="761">
        <f>'CA GENERO(2)'!G11</f>
        <v>0.73069590908827542</v>
      </c>
      <c r="F32" s="757">
        <f>'CA GENERO(2)'!J11</f>
        <v>0.5</v>
      </c>
      <c r="G32" s="707">
        <f>'CA GENERO(2)'!M11</f>
        <v>0.36007827788649704</v>
      </c>
      <c r="H32" s="706">
        <f>'CA GENERO(2)'!P11</f>
        <v>0</v>
      </c>
      <c r="I32" s="706">
        <f>'CA GENERO(2)'!S11</f>
        <v>0</v>
      </c>
      <c r="K32" s="709" t="s">
        <v>3390</v>
      </c>
      <c r="L32" s="713">
        <v>0.5</v>
      </c>
      <c r="M32" s="697">
        <f t="shared" si="0"/>
        <v>0.71864092280474978</v>
      </c>
      <c r="N32" s="708"/>
      <c r="O32" s="697">
        <f t="shared" si="1"/>
        <v>0.73069590908827542</v>
      </c>
      <c r="P32" s="708"/>
      <c r="Q32" s="698">
        <f t="shared" si="2"/>
        <v>0.5</v>
      </c>
      <c r="R32" s="708"/>
      <c r="S32" s="697">
        <f t="shared" si="3"/>
        <v>0.36007827788649704</v>
      </c>
      <c r="T32" s="707"/>
      <c r="U32" s="697">
        <f t="shared" si="4"/>
        <v>0</v>
      </c>
      <c r="V32" s="706"/>
      <c r="W32" s="697">
        <f t="shared" si="5"/>
        <v>0</v>
      </c>
    </row>
    <row r="33" spans="2:27" ht="23.45" customHeight="1" thickBot="1">
      <c r="B33" s="661" t="s">
        <v>3392</v>
      </c>
      <c r="C33" s="713">
        <v>0.5</v>
      </c>
      <c r="D33" s="697">
        <f>'CA GENERO(2)'!D12</f>
        <v>5.3854066251272301E-3</v>
      </c>
      <c r="E33" s="695">
        <f>'CA GENERO(2)'!G12</f>
        <v>0</v>
      </c>
      <c r="F33" s="695">
        <f>'CA GENERO(2)'!J12</f>
        <v>0</v>
      </c>
      <c r="G33" s="695">
        <f>'CA GENERO(2)'!M12</f>
        <v>0</v>
      </c>
      <c r="H33" s="695">
        <f>'CA GENERO(2)'!P12</f>
        <v>0</v>
      </c>
      <c r="I33" s="695">
        <f>'CA GENERO(2)'!S12</f>
        <v>0</v>
      </c>
      <c r="K33" s="661" t="s">
        <v>3392</v>
      </c>
      <c r="L33" s="713">
        <v>0.1</v>
      </c>
      <c r="M33" s="697">
        <f t="shared" si="0"/>
        <v>5.3854066251272301E-3</v>
      </c>
      <c r="N33" s="697"/>
      <c r="O33" s="697">
        <f t="shared" si="1"/>
        <v>0</v>
      </c>
      <c r="P33" s="695"/>
      <c r="Q33" s="698">
        <f t="shared" si="2"/>
        <v>0</v>
      </c>
      <c r="R33" s="695"/>
      <c r="S33" s="697">
        <f t="shared" si="3"/>
        <v>0</v>
      </c>
      <c r="T33" s="695"/>
      <c r="U33" s="697">
        <f t="shared" si="4"/>
        <v>0</v>
      </c>
      <c r="V33" s="695"/>
      <c r="W33" s="697">
        <f t="shared" si="5"/>
        <v>0</v>
      </c>
    </row>
    <row r="34" spans="2:27" ht="23.45" customHeight="1" thickBot="1">
      <c r="B34" s="669" t="s">
        <v>4126</v>
      </c>
      <c r="C34" s="713">
        <v>0.5</v>
      </c>
      <c r="D34" s="762">
        <f>'CA GENERO(2)'!D13</f>
        <v>0.69030821656908303</v>
      </c>
      <c r="E34" s="762">
        <f>'CA GENERO(2)'!G13</f>
        <v>0.73069590908827542</v>
      </c>
      <c r="F34" s="756">
        <f>'CA GENERO(2)'!J13</f>
        <v>0.5</v>
      </c>
      <c r="G34" s="697">
        <f>'CA GENERO(2)'!M13</f>
        <v>0.36007827788649704</v>
      </c>
      <c r="H34" s="695">
        <f>'CA GENERO(2)'!P13</f>
        <v>0</v>
      </c>
      <c r="I34" s="695">
        <f>'CA GENERO(2)'!S13</f>
        <v>0</v>
      </c>
      <c r="K34" s="669" t="s">
        <v>4126</v>
      </c>
      <c r="L34" s="713">
        <v>0.5</v>
      </c>
      <c r="M34" s="697">
        <f t="shared" si="0"/>
        <v>0.69030821656908303</v>
      </c>
      <c r="N34" s="701"/>
      <c r="O34" s="697">
        <f t="shared" si="1"/>
        <v>0.73069590908827542</v>
      </c>
      <c r="P34" s="701"/>
      <c r="Q34" s="698">
        <f t="shared" si="2"/>
        <v>0.5</v>
      </c>
      <c r="R34" s="698"/>
      <c r="S34" s="697">
        <f t="shared" si="3"/>
        <v>0.36007827788649704</v>
      </c>
      <c r="T34" s="697"/>
      <c r="U34" s="697">
        <f t="shared" si="4"/>
        <v>0</v>
      </c>
      <c r="V34" s="695"/>
      <c r="W34" s="697">
        <f t="shared" si="5"/>
        <v>0</v>
      </c>
    </row>
    <row r="35" spans="2:27" ht="23.45" customHeight="1" thickBot="1">
      <c r="B35" s="669" t="s">
        <v>4195</v>
      </c>
      <c r="C35" s="753">
        <v>0.5</v>
      </c>
      <c r="D35" s="754">
        <f>'CA GENERO(2)'!D14</f>
        <v>0.45081352914049211</v>
      </c>
      <c r="E35" s="760">
        <f>'CA GENERO(2)'!G14</f>
        <v>0.73069590908827542</v>
      </c>
      <c r="F35" s="758">
        <f>'CA GENERO(2)'!J14</f>
        <v>0.5</v>
      </c>
      <c r="G35" s="697">
        <f>'CA GENERO(2)'!M14</f>
        <v>0.36007827788649704</v>
      </c>
      <c r="H35" s="695">
        <f>'CA GENERO(2)'!P14</f>
        <v>0</v>
      </c>
      <c r="I35" s="695">
        <f>'CA GENERO(2)'!S14</f>
        <v>0</v>
      </c>
      <c r="K35" s="669" t="s">
        <v>4195</v>
      </c>
      <c r="L35" s="713">
        <v>0.5</v>
      </c>
      <c r="M35" s="697">
        <f t="shared" si="0"/>
        <v>0.45081352914049211</v>
      </c>
      <c r="N35" s="702"/>
      <c r="O35" s="697">
        <f t="shared" si="1"/>
        <v>0.73069590908827542</v>
      </c>
      <c r="P35" s="721"/>
      <c r="Q35" s="698">
        <f t="shared" si="2"/>
        <v>0.5</v>
      </c>
      <c r="R35" s="700"/>
      <c r="S35" s="697">
        <f t="shared" si="3"/>
        <v>0.36007827788649704</v>
      </c>
      <c r="T35" s="697"/>
      <c r="U35" s="697">
        <f t="shared" si="4"/>
        <v>0</v>
      </c>
      <c r="V35" s="695"/>
      <c r="W35" s="697">
        <f t="shared" si="5"/>
        <v>0</v>
      </c>
    </row>
    <row r="36" spans="2:27" ht="23.45" customHeight="1" thickBot="1">
      <c r="B36" s="673" t="s">
        <v>223</v>
      </c>
      <c r="C36" s="753">
        <v>0.5</v>
      </c>
      <c r="D36" s="697">
        <f>'CA GENERO(2)'!D15</f>
        <v>0.41567487354067956</v>
      </c>
      <c r="E36" s="760">
        <f>'CA GENERO(2)'!G15</f>
        <v>0.59819984564520701</v>
      </c>
      <c r="F36" s="704">
        <f>'CA GENERO(2)'!J15</f>
        <v>0.49109873007448757</v>
      </c>
      <c r="G36" s="697">
        <f>'CA GENERO(2)'!M15</f>
        <v>0.32751739808137315</v>
      </c>
      <c r="H36" s="697">
        <f>'CA GENERO(2)'!P15</f>
        <v>0.27036333541214413</v>
      </c>
      <c r="I36" s="697">
        <f>'CA GENERO(2)'!S15</f>
        <v>0.30829830708483857</v>
      </c>
      <c r="K36" s="673" t="s">
        <v>223</v>
      </c>
      <c r="L36" s="713">
        <v>0.45</v>
      </c>
      <c r="M36" s="697">
        <f t="shared" si="0"/>
        <v>0.41567487354067956</v>
      </c>
      <c r="N36" s="720"/>
      <c r="O36" s="697">
        <f t="shared" si="1"/>
        <v>0.59819984564520701</v>
      </c>
      <c r="P36" s="721"/>
      <c r="Q36" s="698">
        <f t="shared" si="2"/>
        <v>0.49109873007448757</v>
      </c>
      <c r="R36" s="704"/>
      <c r="S36" s="697">
        <f t="shared" si="3"/>
        <v>0.32751739808137315</v>
      </c>
      <c r="T36" s="697"/>
      <c r="U36" s="697">
        <f t="shared" si="4"/>
        <v>0.27036333541214413</v>
      </c>
      <c r="V36" s="697"/>
      <c r="W36" s="697">
        <f t="shared" si="5"/>
        <v>0.30829830708483857</v>
      </c>
    </row>
    <row r="37" spans="2:27" ht="23.45" customHeight="1" thickBot="1">
      <c r="B37" s="665" t="s">
        <v>224</v>
      </c>
      <c r="C37" s="753">
        <v>0.5</v>
      </c>
      <c r="D37" s="707">
        <f>'CA GENERO(2)'!D16</f>
        <v>0.32628242761795268</v>
      </c>
      <c r="E37" s="761">
        <f>'CA GENERO(2)'!G16</f>
        <v>0.8394928939260331</v>
      </c>
      <c r="F37" s="759">
        <f>'CA GENERO(2)'!J16</f>
        <v>0.68919090687654816</v>
      </c>
      <c r="G37" s="764">
        <f>'CA GENERO(2)'!M16</f>
        <v>0.45962654508862716</v>
      </c>
      <c r="H37" s="707">
        <f>'CA GENERO(2)'!P16</f>
        <v>0.3794185179232738</v>
      </c>
      <c r="I37" s="707">
        <f>'CA GENERO(2)'!S16</f>
        <v>0.43265514006944589</v>
      </c>
      <c r="K37" s="665" t="s">
        <v>224</v>
      </c>
      <c r="L37" s="713">
        <v>0.35</v>
      </c>
      <c r="M37" s="697">
        <f t="shared" si="0"/>
        <v>0.32628242761795268</v>
      </c>
      <c r="N37" s="710"/>
      <c r="O37" s="697">
        <f t="shared" si="1"/>
        <v>0.8394928939260331</v>
      </c>
      <c r="P37" s="722"/>
      <c r="Q37" s="698">
        <f t="shared" si="2"/>
        <v>0.68919090687654816</v>
      </c>
      <c r="R37" s="711"/>
      <c r="S37" s="697">
        <f t="shared" si="3"/>
        <v>0.45962654508862716</v>
      </c>
      <c r="T37" s="707"/>
      <c r="U37" s="697">
        <f t="shared" si="4"/>
        <v>0.3794185179232738</v>
      </c>
      <c r="V37" s="707"/>
      <c r="W37" s="697">
        <f t="shared" si="5"/>
        <v>0.43265514006944589</v>
      </c>
    </row>
    <row r="38" spans="2:27" ht="23.45" customHeight="1" thickBot="1">
      <c r="B38" s="673" t="s">
        <v>226</v>
      </c>
      <c r="C38" s="713">
        <v>0.5</v>
      </c>
      <c r="D38" s="703">
        <f>'CA GENERO(2)'!D17</f>
        <v>0.39881179550657492</v>
      </c>
      <c r="E38" s="763">
        <f>'CA GENERO(2)'!G17</f>
        <v>0.64371760120325328</v>
      </c>
      <c r="F38" s="760">
        <f>'CA GENERO(2)'!J17</f>
        <v>0.52846703117507909</v>
      </c>
      <c r="G38" s="697">
        <f>'CA GENERO(2)'!M17</f>
        <v>0.35243859619836021</v>
      </c>
      <c r="H38" s="697">
        <f>'CA GENERO(2)'!P17</f>
        <v>0.29093561122053163</v>
      </c>
      <c r="I38" s="697">
        <f>'CA GENERO(2)'!S17</f>
        <v>0.33175710113670159</v>
      </c>
      <c r="K38" s="673" t="s">
        <v>226</v>
      </c>
      <c r="L38" s="713">
        <v>0.45</v>
      </c>
      <c r="M38" s="697">
        <f t="shared" si="0"/>
        <v>0.39881179550657492</v>
      </c>
      <c r="N38" s="703"/>
      <c r="O38" s="697">
        <f t="shared" si="1"/>
        <v>0.64371760120325328</v>
      </c>
      <c r="P38" s="705"/>
      <c r="Q38" s="698">
        <f t="shared" si="2"/>
        <v>0.52846703117507909</v>
      </c>
      <c r="R38" s="699"/>
      <c r="S38" s="697">
        <f t="shared" si="3"/>
        <v>0.35243859619836021</v>
      </c>
      <c r="T38" s="697"/>
      <c r="U38" s="697">
        <f t="shared" si="4"/>
        <v>0.29093561122053163</v>
      </c>
      <c r="V38" s="697"/>
      <c r="W38" s="697">
        <f t="shared" si="5"/>
        <v>0.33175710113670159</v>
      </c>
    </row>
    <row r="40" spans="2:27" ht="19.5" thickBot="1">
      <c r="B40" s="719" t="s">
        <v>4198</v>
      </c>
      <c r="K40" s="719" t="s">
        <v>4198</v>
      </c>
      <c r="L40" s="211"/>
      <c r="M40" s="211"/>
      <c r="O40" s="211"/>
      <c r="Q40" s="211"/>
    </row>
    <row r="41" spans="2:27" ht="30.75" thickBot="1">
      <c r="B41" s="694" t="s">
        <v>4196</v>
      </c>
      <c r="C41" s="155" t="s">
        <v>4197</v>
      </c>
      <c r="D41" s="155" t="s">
        <v>4202</v>
      </c>
      <c r="E41" s="155" t="s">
        <v>193</v>
      </c>
      <c r="F41" s="155" t="s">
        <v>215</v>
      </c>
      <c r="G41" s="155" t="s">
        <v>216</v>
      </c>
      <c r="H41" s="155" t="s">
        <v>217</v>
      </c>
      <c r="I41" s="155" t="s">
        <v>195</v>
      </c>
      <c r="K41" s="694" t="s">
        <v>4196</v>
      </c>
      <c r="L41" s="155" t="s">
        <v>4197</v>
      </c>
      <c r="M41" s="155" t="s">
        <v>3393</v>
      </c>
      <c r="N41" s="155"/>
      <c r="O41" s="155" t="s">
        <v>193</v>
      </c>
      <c r="P41" s="155"/>
      <c r="Q41" s="155" t="s">
        <v>215</v>
      </c>
      <c r="R41" s="155"/>
      <c r="S41" s="155" t="s">
        <v>216</v>
      </c>
      <c r="T41" s="155"/>
      <c r="U41" s="155" t="s">
        <v>217</v>
      </c>
      <c r="V41" s="155"/>
      <c r="W41" s="155" t="s">
        <v>195</v>
      </c>
      <c r="Y41" s="211"/>
      <c r="AA41" s="211"/>
    </row>
    <row r="42" spans="2:27" ht="20.25" customHeight="1" thickBot="1">
      <c r="B42" s="661" t="s">
        <v>4167</v>
      </c>
      <c r="C42" s="714">
        <v>1</v>
      </c>
      <c r="D42" s="715">
        <f>D24/50%</f>
        <v>0.7746213031418947</v>
      </c>
      <c r="E42" s="715">
        <f t="shared" ref="E42:I42" si="6">E24/50%</f>
        <v>0.72015655577299409</v>
      </c>
      <c r="F42" s="718">
        <f t="shared" si="6"/>
        <v>1</v>
      </c>
      <c r="G42" s="715">
        <f t="shared" si="6"/>
        <v>0.713389290508468</v>
      </c>
      <c r="H42" s="715"/>
      <c r="I42" s="715">
        <f t="shared" si="6"/>
        <v>0.72015655577299409</v>
      </c>
      <c r="K42" s="661" t="s">
        <v>4167</v>
      </c>
      <c r="L42" s="714">
        <v>1</v>
      </c>
      <c r="M42" s="715">
        <f>M24/50%</f>
        <v>0.7746213031418947</v>
      </c>
      <c r="N42" s="715"/>
      <c r="O42" s="715">
        <f t="shared" ref="O42" si="7">N24/50%</f>
        <v>0</v>
      </c>
      <c r="P42" s="715"/>
      <c r="Q42" s="716">
        <f t="shared" ref="Q42:Q56" si="8">O24/50%</f>
        <v>0.72015655577299409</v>
      </c>
      <c r="R42" s="716"/>
      <c r="S42" s="715">
        <f t="shared" ref="S42:S56" si="9">P24/50%</f>
        <v>0</v>
      </c>
      <c r="T42" s="715"/>
      <c r="U42" s="715">
        <f t="shared" ref="U42:U56" si="10">Q24/50%</f>
        <v>1</v>
      </c>
      <c r="V42" s="715"/>
      <c r="W42" s="715">
        <f t="shared" ref="W42:W56" si="11">R24/50%</f>
        <v>0</v>
      </c>
      <c r="Y42" s="211"/>
      <c r="AA42" s="211"/>
    </row>
    <row r="43" spans="2:27" ht="20.25" customHeight="1" thickBot="1">
      <c r="B43" s="665" t="s">
        <v>3443</v>
      </c>
      <c r="C43" s="714">
        <v>1</v>
      </c>
      <c r="D43" s="715">
        <f t="shared" ref="D43:I56" si="12">D25/50%</f>
        <v>0.76521407674110808</v>
      </c>
      <c r="E43" s="715"/>
      <c r="F43" s="718">
        <f t="shared" si="12"/>
        <v>1</v>
      </c>
      <c r="G43" s="715">
        <f t="shared" si="12"/>
        <v>0.52881764347142179</v>
      </c>
      <c r="H43" s="715"/>
      <c r="I43" s="715">
        <f t="shared" si="12"/>
        <v>0.52881764347142179</v>
      </c>
      <c r="K43" s="665" t="s">
        <v>3443</v>
      </c>
      <c r="L43" s="714">
        <v>1</v>
      </c>
      <c r="M43" s="715">
        <f t="shared" ref="M43" si="13">M25/50%</f>
        <v>0.76521407674110808</v>
      </c>
      <c r="N43" s="715"/>
      <c r="O43" s="715">
        <f t="shared" ref="O43:O56" si="14">N25/50%</f>
        <v>0</v>
      </c>
      <c r="P43" s="715"/>
      <c r="Q43" s="716">
        <f t="shared" si="8"/>
        <v>0</v>
      </c>
      <c r="R43" s="716"/>
      <c r="S43" s="715">
        <f t="shared" si="9"/>
        <v>0</v>
      </c>
      <c r="T43" s="715"/>
      <c r="U43" s="715">
        <f t="shared" si="10"/>
        <v>1</v>
      </c>
      <c r="V43" s="715"/>
      <c r="W43" s="715">
        <f t="shared" si="11"/>
        <v>0</v>
      </c>
      <c r="Y43" s="211"/>
      <c r="AA43" s="211"/>
    </row>
    <row r="44" spans="2:27" ht="20.25" customHeight="1" thickBot="1">
      <c r="B44" s="667" t="s">
        <v>3444</v>
      </c>
      <c r="C44" s="714">
        <v>1</v>
      </c>
      <c r="D44" s="715"/>
      <c r="E44" s="715"/>
      <c r="F44" s="718"/>
      <c r="G44" s="715"/>
      <c r="H44" s="715"/>
      <c r="I44" s="715"/>
      <c r="K44" s="667" t="s">
        <v>3444</v>
      </c>
      <c r="L44" s="714">
        <v>1</v>
      </c>
      <c r="M44" s="715">
        <f t="shared" ref="M44" si="15">M26/50%</f>
        <v>0</v>
      </c>
      <c r="N44" s="715"/>
      <c r="O44" s="715">
        <f t="shared" si="14"/>
        <v>0</v>
      </c>
      <c r="P44" s="715"/>
      <c r="Q44" s="715">
        <f t="shared" si="8"/>
        <v>0</v>
      </c>
      <c r="R44" s="715"/>
      <c r="S44" s="715">
        <f t="shared" si="9"/>
        <v>0</v>
      </c>
      <c r="T44" s="715"/>
      <c r="U44" s="715">
        <f t="shared" si="10"/>
        <v>0</v>
      </c>
      <c r="V44" s="715"/>
      <c r="W44" s="715">
        <f t="shared" si="11"/>
        <v>0</v>
      </c>
      <c r="Y44" s="211"/>
      <c r="AA44" s="211"/>
    </row>
    <row r="45" spans="2:27" ht="20.25" customHeight="1" thickBot="1">
      <c r="B45" s="665" t="s">
        <v>3442</v>
      </c>
      <c r="C45" s="714">
        <v>1</v>
      </c>
      <c r="D45" s="715">
        <f t="shared" si="12"/>
        <v>0.72776906298779331</v>
      </c>
      <c r="E45" s="715"/>
      <c r="F45" s="718">
        <f t="shared" si="12"/>
        <v>1</v>
      </c>
      <c r="G45" s="715">
        <f t="shared" si="12"/>
        <v>0.56528275259669891</v>
      </c>
      <c r="H45" s="715">
        <f t="shared" si="12"/>
        <v>0.56528275259669891</v>
      </c>
      <c r="I45" s="715">
        <f t="shared" si="12"/>
        <v>0.56528275259669891</v>
      </c>
      <c r="K45" s="665" t="s">
        <v>3442</v>
      </c>
      <c r="L45" s="714">
        <v>1</v>
      </c>
      <c r="M45" s="715">
        <f t="shared" ref="M45" si="16">M27/50%</f>
        <v>0.72776906298779331</v>
      </c>
      <c r="N45" s="715"/>
      <c r="O45" s="715">
        <f t="shared" si="14"/>
        <v>0</v>
      </c>
      <c r="P45" s="715"/>
      <c r="Q45" s="716">
        <f t="shared" si="8"/>
        <v>0</v>
      </c>
      <c r="R45" s="716"/>
      <c r="S45" s="715">
        <f t="shared" si="9"/>
        <v>0</v>
      </c>
      <c r="T45" s="715"/>
      <c r="U45" s="715">
        <f t="shared" si="10"/>
        <v>1</v>
      </c>
      <c r="V45" s="715"/>
      <c r="W45" s="715">
        <f t="shared" si="11"/>
        <v>0</v>
      </c>
      <c r="Y45" s="211"/>
      <c r="AA45" s="211"/>
    </row>
    <row r="46" spans="2:27" ht="20.25" customHeight="1" thickBot="1">
      <c r="B46" s="669" t="s">
        <v>4125</v>
      </c>
      <c r="C46" s="714">
        <v>1</v>
      </c>
      <c r="D46" s="715">
        <f t="shared" si="12"/>
        <v>0.74415671804698469</v>
      </c>
      <c r="E46" s="715">
        <f t="shared" si="12"/>
        <v>0.72015655577299409</v>
      </c>
      <c r="F46" s="755">
        <f t="shared" si="12"/>
        <v>0.97393683760848804</v>
      </c>
      <c r="G46" s="715">
        <f t="shared" si="12"/>
        <v>0.65446051437485153</v>
      </c>
      <c r="H46" s="715">
        <f t="shared" si="12"/>
        <v>0.41227204620798569</v>
      </c>
      <c r="I46" s="715">
        <f t="shared" si="12"/>
        <v>0.61659661416967715</v>
      </c>
      <c r="K46" s="669" t="s">
        <v>4125</v>
      </c>
      <c r="L46" s="714">
        <v>1</v>
      </c>
      <c r="M46" s="715">
        <f t="shared" ref="M46" si="17">M28/50%</f>
        <v>0.74415671804698469</v>
      </c>
      <c r="N46" s="715"/>
      <c r="O46" s="715">
        <f t="shared" si="14"/>
        <v>0</v>
      </c>
      <c r="P46" s="715"/>
      <c r="Q46" s="717">
        <f t="shared" si="8"/>
        <v>0.72015655577299409</v>
      </c>
      <c r="R46" s="717"/>
      <c r="S46" s="715">
        <f t="shared" si="9"/>
        <v>0</v>
      </c>
      <c r="T46" s="715"/>
      <c r="U46" s="715">
        <f t="shared" si="10"/>
        <v>0.97393683760848804</v>
      </c>
      <c r="V46" s="715"/>
      <c r="W46" s="715">
        <f t="shared" si="11"/>
        <v>0</v>
      </c>
      <c r="Y46" s="211"/>
      <c r="AA46" s="211"/>
    </row>
    <row r="47" spans="2:27" ht="20.25" customHeight="1" thickBot="1">
      <c r="B47" s="669" t="s">
        <v>4182</v>
      </c>
      <c r="C47" s="714">
        <v>1</v>
      </c>
      <c r="D47" s="715">
        <f t="shared" si="12"/>
        <v>0.56528275259669891</v>
      </c>
      <c r="E47" s="715"/>
      <c r="F47" s="715"/>
      <c r="G47" s="715"/>
      <c r="H47" s="715"/>
      <c r="I47" s="715"/>
      <c r="K47" s="669" t="s">
        <v>4182</v>
      </c>
      <c r="L47" s="714">
        <v>1</v>
      </c>
      <c r="M47" s="715">
        <f t="shared" ref="M47" si="18">M29/50%</f>
        <v>0.56528275259669891</v>
      </c>
      <c r="N47" s="715"/>
      <c r="O47" s="715">
        <f t="shared" si="14"/>
        <v>0</v>
      </c>
      <c r="P47" s="715"/>
      <c r="Q47" s="715">
        <f t="shared" si="8"/>
        <v>0</v>
      </c>
      <c r="R47" s="715"/>
      <c r="S47" s="715">
        <f t="shared" si="9"/>
        <v>0</v>
      </c>
      <c r="T47" s="715"/>
      <c r="U47" s="715">
        <f t="shared" si="10"/>
        <v>0</v>
      </c>
      <c r="V47" s="715"/>
      <c r="W47" s="715">
        <f t="shared" si="11"/>
        <v>0</v>
      </c>
      <c r="Y47" s="211"/>
      <c r="AA47" s="211"/>
    </row>
    <row r="48" spans="2:27" ht="20.25" customHeight="1" thickBot="1">
      <c r="B48" s="669" t="s">
        <v>4183</v>
      </c>
      <c r="C48" s="714">
        <v>1</v>
      </c>
      <c r="D48" s="715">
        <f t="shared" si="12"/>
        <v>0.66874498014684858</v>
      </c>
      <c r="E48" s="715">
        <f t="shared" si="12"/>
        <v>0.72015655577299409</v>
      </c>
      <c r="F48" s="755">
        <f t="shared" si="12"/>
        <v>0.97393683760848804</v>
      </c>
      <c r="G48" s="715">
        <f t="shared" si="12"/>
        <v>0.65446051437485153</v>
      </c>
      <c r="H48" s="715">
        <f t="shared" si="12"/>
        <v>0.54072667082428827</v>
      </c>
      <c r="I48" s="715">
        <f t="shared" si="12"/>
        <v>0.61659661416967715</v>
      </c>
      <c r="K48" s="669" t="s">
        <v>4183</v>
      </c>
      <c r="L48" s="714">
        <v>1</v>
      </c>
      <c r="M48" s="715">
        <f t="shared" ref="M48" si="19">M30/50%</f>
        <v>0.66874498014684858</v>
      </c>
      <c r="N48" s="715"/>
      <c r="O48" s="715">
        <f t="shared" si="14"/>
        <v>0</v>
      </c>
      <c r="P48" s="715"/>
      <c r="Q48" s="717">
        <f t="shared" si="8"/>
        <v>0.72015655577299409</v>
      </c>
      <c r="R48" s="717"/>
      <c r="S48" s="715">
        <f t="shared" si="9"/>
        <v>0</v>
      </c>
      <c r="T48" s="715"/>
      <c r="U48" s="715">
        <f t="shared" si="10"/>
        <v>0.97393683760848804</v>
      </c>
      <c r="V48" s="715"/>
      <c r="W48" s="715">
        <f t="shared" si="11"/>
        <v>0</v>
      </c>
      <c r="Y48" s="211"/>
      <c r="AA48" s="211"/>
    </row>
    <row r="49" spans="2:27" ht="20.25" customHeight="1" thickBot="1">
      <c r="B49" s="661" t="s">
        <v>3389</v>
      </c>
      <c r="C49" s="714">
        <v>1</v>
      </c>
      <c r="D49" s="718">
        <f t="shared" si="12"/>
        <v>1</v>
      </c>
      <c r="E49" s="716"/>
      <c r="F49" s="718">
        <f t="shared" si="12"/>
        <v>1</v>
      </c>
      <c r="G49" s="715"/>
      <c r="H49" s="715"/>
      <c r="I49" s="715"/>
      <c r="K49" s="661" t="s">
        <v>3389</v>
      </c>
      <c r="L49" s="714">
        <v>1</v>
      </c>
      <c r="M49" s="716">
        <f t="shared" ref="M49" si="20">M31/50%</f>
        <v>1</v>
      </c>
      <c r="N49" s="716"/>
      <c r="O49" s="716">
        <f t="shared" si="14"/>
        <v>0</v>
      </c>
      <c r="P49" s="716"/>
      <c r="Q49" s="716">
        <f t="shared" si="8"/>
        <v>0</v>
      </c>
      <c r="R49" s="716"/>
      <c r="S49" s="715">
        <f t="shared" si="9"/>
        <v>0</v>
      </c>
      <c r="T49" s="715"/>
      <c r="U49" s="715">
        <f t="shared" si="10"/>
        <v>1</v>
      </c>
      <c r="V49" s="715"/>
      <c r="W49" s="715">
        <f t="shared" si="11"/>
        <v>0</v>
      </c>
      <c r="Y49" s="211"/>
      <c r="AA49" s="211"/>
    </row>
    <row r="50" spans="2:27" ht="20.25" customHeight="1" thickBot="1">
      <c r="B50" s="709" t="s">
        <v>3390</v>
      </c>
      <c r="C50" s="714">
        <v>1</v>
      </c>
      <c r="D50" s="716">
        <f t="shared" si="12"/>
        <v>1.4372818456094996</v>
      </c>
      <c r="E50" s="716">
        <f t="shared" si="12"/>
        <v>1.4613918181765508</v>
      </c>
      <c r="F50" s="718">
        <f t="shared" si="12"/>
        <v>1</v>
      </c>
      <c r="G50" s="715">
        <f t="shared" si="12"/>
        <v>0.72015655577299409</v>
      </c>
      <c r="H50" s="715"/>
      <c r="I50" s="715"/>
      <c r="K50" s="709" t="s">
        <v>3390</v>
      </c>
      <c r="L50" s="714">
        <v>1</v>
      </c>
      <c r="M50" s="718">
        <f t="shared" ref="M50" si="21">M32/50%</f>
        <v>1.4372818456094996</v>
      </c>
      <c r="N50" s="718"/>
      <c r="O50" s="718">
        <f t="shared" si="14"/>
        <v>0</v>
      </c>
      <c r="P50" s="718"/>
      <c r="Q50" s="716">
        <f t="shared" si="8"/>
        <v>1.4613918181765508</v>
      </c>
      <c r="R50" s="716"/>
      <c r="S50" s="715">
        <f t="shared" si="9"/>
        <v>0</v>
      </c>
      <c r="T50" s="715"/>
      <c r="U50" s="715">
        <f t="shared" si="10"/>
        <v>1</v>
      </c>
      <c r="V50" s="715"/>
      <c r="W50" s="715">
        <f t="shared" si="11"/>
        <v>0</v>
      </c>
      <c r="Y50" s="211"/>
      <c r="AA50" s="211"/>
    </row>
    <row r="51" spans="2:27" ht="20.25" customHeight="1" thickBot="1">
      <c r="B51" s="661" t="s">
        <v>3392</v>
      </c>
      <c r="C51" s="714">
        <v>1</v>
      </c>
      <c r="D51" s="715">
        <f t="shared" si="12"/>
        <v>1.077081325025446E-2</v>
      </c>
      <c r="E51" s="715"/>
      <c r="F51" s="715"/>
      <c r="G51" s="715"/>
      <c r="H51" s="715"/>
      <c r="I51" s="715"/>
      <c r="K51" s="661" t="s">
        <v>3392</v>
      </c>
      <c r="L51" s="714">
        <v>1</v>
      </c>
      <c r="M51" s="715">
        <f t="shared" ref="M51" si="22">M33/50%</f>
        <v>1.077081325025446E-2</v>
      </c>
      <c r="N51" s="715"/>
      <c r="O51" s="715">
        <f t="shared" si="14"/>
        <v>0</v>
      </c>
      <c r="P51" s="715"/>
      <c r="Q51" s="715">
        <f t="shared" si="8"/>
        <v>0</v>
      </c>
      <c r="R51" s="715"/>
      <c r="S51" s="715">
        <f t="shared" si="9"/>
        <v>0</v>
      </c>
      <c r="T51" s="715"/>
      <c r="U51" s="715">
        <f t="shared" si="10"/>
        <v>0</v>
      </c>
      <c r="V51" s="715"/>
      <c r="W51" s="715">
        <f t="shared" si="11"/>
        <v>0</v>
      </c>
      <c r="Y51" s="211"/>
      <c r="AA51" s="211"/>
    </row>
    <row r="52" spans="2:27" ht="20.25" customHeight="1" thickBot="1">
      <c r="B52" s="669" t="s">
        <v>4126</v>
      </c>
      <c r="C52" s="714">
        <v>1</v>
      </c>
      <c r="D52" s="716">
        <f t="shared" si="12"/>
        <v>1.3806164331381661</v>
      </c>
      <c r="E52" s="716">
        <f t="shared" si="12"/>
        <v>1.4613918181765508</v>
      </c>
      <c r="F52" s="718">
        <f t="shared" si="12"/>
        <v>1</v>
      </c>
      <c r="G52" s="715">
        <f t="shared" si="12"/>
        <v>0.72015655577299409</v>
      </c>
      <c r="H52" s="715"/>
      <c r="I52" s="715"/>
      <c r="K52" s="669" t="s">
        <v>4126</v>
      </c>
      <c r="L52" s="714">
        <v>1</v>
      </c>
      <c r="M52" s="718">
        <f t="shared" ref="M52" si="23">M34/50%</f>
        <v>1.3806164331381661</v>
      </c>
      <c r="N52" s="718"/>
      <c r="O52" s="718">
        <f t="shared" si="14"/>
        <v>0</v>
      </c>
      <c r="P52" s="718"/>
      <c r="Q52" s="716">
        <f t="shared" si="8"/>
        <v>1.4613918181765508</v>
      </c>
      <c r="R52" s="716"/>
      <c r="S52" s="715">
        <f t="shared" si="9"/>
        <v>0</v>
      </c>
      <c r="T52" s="715"/>
      <c r="U52" s="715">
        <f t="shared" si="10"/>
        <v>1</v>
      </c>
      <c r="V52" s="715"/>
      <c r="W52" s="715">
        <f t="shared" si="11"/>
        <v>0</v>
      </c>
      <c r="Y52" s="211"/>
      <c r="AA52" s="211"/>
    </row>
    <row r="53" spans="2:27" ht="20.25" customHeight="1" thickBot="1">
      <c r="B53" s="669" t="s">
        <v>4195</v>
      </c>
      <c r="C53" s="714">
        <v>1</v>
      </c>
      <c r="D53" s="755">
        <f t="shared" si="12"/>
        <v>0.90162705828098422</v>
      </c>
      <c r="E53" s="716">
        <f t="shared" si="12"/>
        <v>1.4613918181765508</v>
      </c>
      <c r="F53" s="718">
        <f t="shared" si="12"/>
        <v>1</v>
      </c>
      <c r="G53" s="715">
        <f t="shared" si="12"/>
        <v>0.72015655577299409</v>
      </c>
      <c r="H53" s="715"/>
      <c r="I53" s="715"/>
      <c r="K53" s="669" t="s">
        <v>4195</v>
      </c>
      <c r="L53" s="714">
        <v>1</v>
      </c>
      <c r="M53" s="717">
        <f t="shared" ref="M53" si="24">M35/50%</f>
        <v>0.90162705828098422</v>
      </c>
      <c r="N53" s="717"/>
      <c r="O53" s="718">
        <f t="shared" si="14"/>
        <v>0</v>
      </c>
      <c r="P53" s="718"/>
      <c r="Q53" s="716">
        <f t="shared" si="8"/>
        <v>1.4613918181765508</v>
      </c>
      <c r="R53" s="716"/>
      <c r="S53" s="715">
        <f t="shared" si="9"/>
        <v>0</v>
      </c>
      <c r="T53" s="715"/>
      <c r="U53" s="715">
        <f t="shared" si="10"/>
        <v>1</v>
      </c>
      <c r="V53" s="715"/>
      <c r="W53" s="715">
        <f t="shared" si="11"/>
        <v>0</v>
      </c>
      <c r="Y53" s="211"/>
      <c r="AA53" s="211"/>
    </row>
    <row r="54" spans="2:27" ht="20.25" customHeight="1" thickBot="1">
      <c r="B54" s="673" t="s">
        <v>223</v>
      </c>
      <c r="C54" s="714">
        <v>1</v>
      </c>
      <c r="D54" s="715">
        <f t="shared" si="12"/>
        <v>0.83134974708135911</v>
      </c>
      <c r="E54" s="716">
        <f t="shared" si="12"/>
        <v>1.196399691290414</v>
      </c>
      <c r="F54" s="755">
        <f t="shared" si="12"/>
        <v>0.98219746014897513</v>
      </c>
      <c r="G54" s="715">
        <f t="shared" si="12"/>
        <v>0.65503479616274629</v>
      </c>
      <c r="H54" s="715">
        <f t="shared" si="12"/>
        <v>0.54072667082428827</v>
      </c>
      <c r="I54" s="715">
        <f t="shared" si="12"/>
        <v>0.61659661416967715</v>
      </c>
      <c r="K54" s="673" t="s">
        <v>223</v>
      </c>
      <c r="L54" s="714">
        <v>1</v>
      </c>
      <c r="M54" s="715">
        <f t="shared" ref="M54" si="25">M36/50%</f>
        <v>0.83134974708135911</v>
      </c>
      <c r="N54" s="715"/>
      <c r="O54" s="718">
        <f t="shared" si="14"/>
        <v>0</v>
      </c>
      <c r="P54" s="718"/>
      <c r="Q54" s="717">
        <f t="shared" si="8"/>
        <v>1.196399691290414</v>
      </c>
      <c r="R54" s="717"/>
      <c r="S54" s="715">
        <f t="shared" si="9"/>
        <v>0</v>
      </c>
      <c r="T54" s="715"/>
      <c r="U54" s="715">
        <f t="shared" si="10"/>
        <v>0.98219746014897513</v>
      </c>
      <c r="V54" s="715"/>
      <c r="W54" s="715">
        <f t="shared" si="11"/>
        <v>0</v>
      </c>
      <c r="Y54" s="211"/>
      <c r="AA54" s="211"/>
    </row>
    <row r="55" spans="2:27" ht="20.25" customHeight="1" thickBot="1">
      <c r="B55" s="665" t="s">
        <v>224</v>
      </c>
      <c r="C55" s="714">
        <v>1</v>
      </c>
      <c r="D55" s="715">
        <f t="shared" si="12"/>
        <v>0.65256485523590535</v>
      </c>
      <c r="E55" s="716">
        <f t="shared" si="12"/>
        <v>1.6789857878520662</v>
      </c>
      <c r="F55" s="716">
        <f t="shared" si="12"/>
        <v>1.3783818137530963</v>
      </c>
      <c r="G55" s="755">
        <f t="shared" si="12"/>
        <v>0.91925309017725432</v>
      </c>
      <c r="H55" s="715">
        <f t="shared" si="12"/>
        <v>0.7588370358465476</v>
      </c>
      <c r="I55" s="715">
        <f t="shared" si="12"/>
        <v>0.86531028013889177</v>
      </c>
      <c r="K55" s="665" t="s">
        <v>224</v>
      </c>
      <c r="L55" s="714">
        <v>1</v>
      </c>
      <c r="M55" s="715">
        <f t="shared" ref="M55" si="26">M37/50%</f>
        <v>0.65256485523590535</v>
      </c>
      <c r="N55" s="715"/>
      <c r="O55" s="718">
        <f t="shared" si="14"/>
        <v>0</v>
      </c>
      <c r="P55" s="718"/>
      <c r="Q55" s="718">
        <f t="shared" si="8"/>
        <v>1.6789857878520662</v>
      </c>
      <c r="R55" s="718"/>
      <c r="S55" s="717">
        <f t="shared" si="9"/>
        <v>0</v>
      </c>
      <c r="T55" s="717"/>
      <c r="U55" s="715">
        <f t="shared" si="10"/>
        <v>1.3783818137530963</v>
      </c>
      <c r="V55" s="715"/>
      <c r="W55" s="715">
        <f t="shared" si="11"/>
        <v>0</v>
      </c>
      <c r="Y55" s="211"/>
      <c r="AA55" s="211"/>
    </row>
    <row r="56" spans="2:27" ht="20.25" customHeight="1" thickBot="1">
      <c r="B56" s="673" t="s">
        <v>226</v>
      </c>
      <c r="C56" s="714">
        <v>1</v>
      </c>
      <c r="D56" s="715">
        <f t="shared" si="12"/>
        <v>0.79762359101314984</v>
      </c>
      <c r="E56" s="716">
        <f t="shared" si="12"/>
        <v>1.2874352024065066</v>
      </c>
      <c r="F56" s="716">
        <f t="shared" si="12"/>
        <v>1.0569340623501582</v>
      </c>
      <c r="G56" s="715">
        <f t="shared" si="12"/>
        <v>0.70487719239672042</v>
      </c>
      <c r="H56" s="715">
        <f t="shared" si="12"/>
        <v>0.58187122244106326</v>
      </c>
      <c r="I56" s="715">
        <f t="shared" si="12"/>
        <v>0.66351420227340319</v>
      </c>
      <c r="K56" s="673" t="s">
        <v>226</v>
      </c>
      <c r="L56" s="714">
        <v>1</v>
      </c>
      <c r="M56" s="715">
        <f t="shared" ref="M56" si="27">M38/50%</f>
        <v>0.79762359101314984</v>
      </c>
      <c r="N56" s="715"/>
      <c r="O56" s="718">
        <f t="shared" si="14"/>
        <v>0</v>
      </c>
      <c r="P56" s="718"/>
      <c r="Q56" s="716">
        <f t="shared" si="8"/>
        <v>1.2874352024065066</v>
      </c>
      <c r="R56" s="716"/>
      <c r="S56" s="715">
        <f t="shared" si="9"/>
        <v>0</v>
      </c>
      <c r="T56" s="715"/>
      <c r="U56" s="715">
        <f t="shared" si="10"/>
        <v>1.0569340623501582</v>
      </c>
      <c r="V56" s="715"/>
      <c r="W56" s="715">
        <f t="shared" si="11"/>
        <v>0</v>
      </c>
      <c r="Y56" s="211"/>
      <c r="AA56" s="21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-0.499984740745262"/>
  </sheetPr>
  <dimension ref="J1:O9"/>
  <sheetViews>
    <sheetView zoomScale="75" zoomScaleNormal="75" workbookViewId="0">
      <selection activeCell="I29" sqref="I29"/>
    </sheetView>
  </sheetViews>
  <sheetFormatPr baseColWidth="10" defaultRowHeight="15"/>
  <cols>
    <col min="9" max="9" width="16" customWidth="1"/>
    <col min="10" max="10" width="29" customWidth="1"/>
    <col min="12" max="12" width="7.85546875" customWidth="1"/>
    <col min="13" max="13" width="8.28515625" customWidth="1"/>
    <col min="14" max="14" width="22.140625" customWidth="1"/>
    <col min="15" max="15" width="16.7109375" customWidth="1"/>
  </cols>
  <sheetData>
    <row r="1" spans="10:15" s="211" customFormat="1" ht="60">
      <c r="L1" s="210" t="s">
        <v>234</v>
      </c>
      <c r="M1" s="210" t="s">
        <v>233</v>
      </c>
    </row>
    <row r="2" spans="10:15">
      <c r="J2" t="str">
        <f>[3]V.INTEGRAL!A25</f>
        <v>VALOR AGREGADO</v>
      </c>
      <c r="K2" s="144">
        <f>V.INTEGRAL!B3</f>
        <v>51646679</v>
      </c>
      <c r="N2" t="str">
        <f>[3]V.INTEGRAL!A29</f>
        <v>VALOR SOCIAL DE MERCADO [VES]</v>
      </c>
      <c r="O2" s="144">
        <f>K5</f>
        <v>74179988</v>
      </c>
    </row>
    <row r="3" spans="10:15">
      <c r="J3" t="str">
        <f>[3]V.INTEGRAL!A26</f>
        <v>VALOR MOVILIZADO (I)</v>
      </c>
      <c r="K3" s="144">
        <f>V.INTEGRAL!B4</f>
        <v>16433281.94495758</v>
      </c>
      <c r="N3" t="str">
        <f>[3]V.INTEGRAL!A30</f>
        <v>VALOR SOCIAL ESPECÍFICO     [VSE]</v>
      </c>
      <c r="O3" s="144">
        <f>K6</f>
        <v>126268860.6748226</v>
      </c>
    </row>
    <row r="4" spans="10:15">
      <c r="J4" t="str">
        <f>[3]V.INTEGRAL!A27</f>
        <v>VALOR MOVILIZADO (II)</v>
      </c>
      <c r="K4" s="144">
        <f>V.INTEGRAL!B5</f>
        <v>1878751.9668985982</v>
      </c>
      <c r="N4" t="str">
        <f>[3]V.INTEGRAL!A31</f>
        <v>VALOR SOCIAL INTEGRADO   [VASI]</v>
      </c>
      <c r="O4" s="144">
        <f>K7</f>
        <v>228041171.08473188</v>
      </c>
    </row>
    <row r="5" spans="10:15">
      <c r="J5" t="str">
        <f>[3]V.INTEGRAL!A29</f>
        <v>VALOR SOCIAL DE MERCADO [VES]</v>
      </c>
      <c r="K5" s="144">
        <f>V.INTEGRAL!B9</f>
        <v>74179988</v>
      </c>
      <c r="L5" s="215" t="e">
        <f>K5/(#REF!+#REF!)</f>
        <v>#REF!</v>
      </c>
      <c r="M5" s="215" t="e">
        <f>K5/#REF!</f>
        <v>#REF!</v>
      </c>
      <c r="N5" t="str">
        <f>[3]V.INTEGRAL!A33</f>
        <v>VALOR SOCIO-EMOCIONAL   [VASE]</v>
      </c>
      <c r="O5" s="144">
        <f>K9</f>
        <v>281060743.36193204</v>
      </c>
    </row>
    <row r="6" spans="10:15">
      <c r="J6" t="str">
        <f>[3]V.INTEGRAL!A30</f>
        <v>VALOR SOCIAL ESPECÍFICO     [VSE]</v>
      </c>
      <c r="K6" s="144">
        <f>V.INTEGRAL!B14</f>
        <v>126268860.6748226</v>
      </c>
      <c r="L6" s="215" t="e">
        <f>K6/(#REF!+#REF!)</f>
        <v>#REF!</v>
      </c>
      <c r="M6" s="215" t="e">
        <f>K6/#REF!</f>
        <v>#REF!</v>
      </c>
    </row>
    <row r="7" spans="10:15">
      <c r="J7" t="str">
        <f>[3]V.INTEGRAL!A31</f>
        <v>VALOR SOCIAL INTEGRADO   [VASI]</v>
      </c>
      <c r="K7" s="144">
        <f>V.INTEGRAL!B15</f>
        <v>228041171.08473188</v>
      </c>
      <c r="L7" s="215" t="e">
        <f>K7/(#REF!+#REF!)</f>
        <v>#REF!</v>
      </c>
      <c r="M7" s="215" t="e">
        <f>K7/#REF!</f>
        <v>#REF!</v>
      </c>
    </row>
    <row r="8" spans="10:15">
      <c r="J8" t="str">
        <f>[3]V.INTEGRAL!A32</f>
        <v>VALOR EMOCIONAL</v>
      </c>
      <c r="K8" s="144">
        <f>V.INTEGRAL!B16</f>
        <v>53019572.27720017</v>
      </c>
      <c r="L8" s="215" t="e">
        <f>K8/(#REF!+#REF!)</f>
        <v>#REF!</v>
      </c>
      <c r="M8" s="215" t="e">
        <f>K8/#REF!</f>
        <v>#REF!</v>
      </c>
    </row>
    <row r="9" spans="10:15">
      <c r="J9" t="str">
        <f>[3]V.INTEGRAL!A33</f>
        <v>VALOR SOCIO-EMOCIONAL   [VASE]</v>
      </c>
      <c r="K9" s="144">
        <f>V.INTEGRAL!B17</f>
        <v>281060743.36193204</v>
      </c>
      <c r="L9" s="215" t="e">
        <f>K9/(#REF!+#REF!)</f>
        <v>#REF!</v>
      </c>
      <c r="M9" s="215" t="e">
        <f>K9/#REF!</f>
        <v>#REF!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-0.499984740745262"/>
  </sheetPr>
  <dimension ref="A1:P26"/>
  <sheetViews>
    <sheetView topLeftCell="A3" workbookViewId="0">
      <selection activeCell="L20" sqref="L20"/>
    </sheetView>
  </sheetViews>
  <sheetFormatPr baseColWidth="10" defaultColWidth="10.85546875" defaultRowHeight="15"/>
  <cols>
    <col min="1" max="1" width="22" style="211" customWidth="1"/>
    <col min="2" max="6" width="10.85546875" style="211"/>
    <col min="7" max="7" width="19.7109375" style="211" bestFit="1" customWidth="1"/>
    <col min="8" max="16384" width="10.85546875" style="211"/>
  </cols>
  <sheetData>
    <row r="1" spans="1:16">
      <c r="A1" s="1" t="s">
        <v>235</v>
      </c>
    </row>
    <row r="2" spans="1:16">
      <c r="A2" s="216" t="s">
        <v>236</v>
      </c>
    </row>
    <row r="3" spans="1:16">
      <c r="G3" s="217"/>
      <c r="H3" s="217"/>
      <c r="I3" s="217"/>
      <c r="J3" s="217"/>
    </row>
    <row r="4" spans="1:16">
      <c r="A4" s="218"/>
      <c r="B4" s="225" t="s">
        <v>237</v>
      </c>
      <c r="C4" s="219" t="s">
        <v>238</v>
      </c>
      <c r="D4" s="219" t="s">
        <v>239</v>
      </c>
      <c r="E4" s="219" t="s">
        <v>240</v>
      </c>
      <c r="G4" s="217"/>
      <c r="H4" s="217"/>
      <c r="I4" s="220">
        <f>+E5</f>
        <v>9458.7024396632751</v>
      </c>
      <c r="J4" s="220"/>
    </row>
    <row r="5" spans="1:16">
      <c r="A5" s="223" t="s">
        <v>241</v>
      </c>
      <c r="B5" s="226">
        <f>GRAFICOS!K9</f>
        <v>281060743.36193204</v>
      </c>
      <c r="C5" s="224">
        <v>3.1415000000000002</v>
      </c>
      <c r="D5" s="221">
        <f>+B5/C5</f>
        <v>89467051.842092007</v>
      </c>
      <c r="E5" s="221">
        <f>SQRT($D5)</f>
        <v>9458.7024396632751</v>
      </c>
      <c r="G5" s="217" t="str">
        <f>+A5</f>
        <v>Valor Socio-Emocional</v>
      </c>
      <c r="H5" s="217">
        <v>1</v>
      </c>
      <c r="I5" s="222">
        <f>+E5/$I$4</f>
        <v>1</v>
      </c>
      <c r="J5" s="220">
        <f>+B5</f>
        <v>281060743.36193204</v>
      </c>
      <c r="P5" s="6">
        <v>688.34427025646437</v>
      </c>
    </row>
    <row r="6" spans="1:16">
      <c r="A6" s="223" t="s">
        <v>242</v>
      </c>
      <c r="B6" s="226">
        <f>GRAFICOS!K7</f>
        <v>228041171.08473188</v>
      </c>
      <c r="C6" s="224">
        <v>3.1415000000000002</v>
      </c>
      <c r="D6" s="221">
        <f>+B6/C6</f>
        <v>72589900.074719682</v>
      </c>
      <c r="E6" s="221">
        <f t="shared" ref="E6:E9" si="0">SQRT($D6)</f>
        <v>8519.9706616114399</v>
      </c>
      <c r="G6" s="217" t="str">
        <f t="shared" ref="G6:G9" si="1">+A6</f>
        <v>Valor Social Integrado</v>
      </c>
      <c r="H6" s="217">
        <v>1</v>
      </c>
      <c r="I6" s="222">
        <f t="shared" ref="I6:I9" si="2">+E6/$I$4</f>
        <v>0.90075469822208998</v>
      </c>
      <c r="J6" s="220">
        <f t="shared" ref="J6:J9" si="3">+B6</f>
        <v>228041171.08473188</v>
      </c>
      <c r="P6" s="6">
        <v>602.64319597590327</v>
      </c>
    </row>
    <row r="7" spans="1:16">
      <c r="A7" s="223" t="s">
        <v>169</v>
      </c>
      <c r="B7" s="226">
        <f>GRAFICOS!K6</f>
        <v>126268860.6748226</v>
      </c>
      <c r="C7" s="224">
        <v>3.1415000000000002</v>
      </c>
      <c r="D7" s="221">
        <f t="shared" ref="D7:D9" si="4">+B7/C7</f>
        <v>40193812.088117965</v>
      </c>
      <c r="E7" s="221">
        <f t="shared" si="0"/>
        <v>6339.8589959176506</v>
      </c>
      <c r="G7" s="217" t="str">
        <f t="shared" si="1"/>
        <v>Valor Social Específico</v>
      </c>
      <c r="H7" s="217">
        <v>1</v>
      </c>
      <c r="I7" s="222">
        <f t="shared" si="2"/>
        <v>0.67026730530528733</v>
      </c>
      <c r="J7" s="220">
        <f t="shared" si="3"/>
        <v>126268860.6748226</v>
      </c>
      <c r="P7" s="6">
        <v>550.09321734656999</v>
      </c>
    </row>
    <row r="8" spans="1:16">
      <c r="A8" s="223" t="s">
        <v>243</v>
      </c>
      <c r="B8" s="226">
        <f>GRAFICOS!K5</f>
        <v>74179988</v>
      </c>
      <c r="C8" s="224">
        <v>3.1415000000000002</v>
      </c>
      <c r="D8" s="221">
        <f t="shared" si="4"/>
        <v>23612919.942702528</v>
      </c>
      <c r="E8" s="221">
        <f t="shared" si="0"/>
        <v>4859.3127027083292</v>
      </c>
      <c r="G8" s="217" t="str">
        <f t="shared" si="1"/>
        <v>Valor Social de Mercado</v>
      </c>
      <c r="H8" s="217">
        <v>1</v>
      </c>
      <c r="I8" s="222">
        <f t="shared" si="2"/>
        <v>0.51373988490553657</v>
      </c>
      <c r="J8" s="220">
        <f t="shared" si="3"/>
        <v>74179988</v>
      </c>
      <c r="P8" s="6">
        <v>246.12215391890575</v>
      </c>
    </row>
    <row r="9" spans="1:16">
      <c r="A9" s="223" t="s">
        <v>244</v>
      </c>
      <c r="B9" s="226">
        <v>2136</v>
      </c>
      <c r="C9" s="224">
        <v>3.1415000000000002</v>
      </c>
      <c r="D9" s="221">
        <f t="shared" si="4"/>
        <v>679.92996975966889</v>
      </c>
      <c r="E9" s="221">
        <f t="shared" si="0"/>
        <v>26.075466817674979</v>
      </c>
      <c r="G9" s="217" t="str">
        <f t="shared" si="1"/>
        <v>Resultado Económico</v>
      </c>
      <c r="H9" s="217">
        <v>1</v>
      </c>
      <c r="I9" s="222">
        <f t="shared" si="2"/>
        <v>2.7567699675520455E-3</v>
      </c>
      <c r="J9" s="220">
        <f t="shared" si="3"/>
        <v>2136</v>
      </c>
      <c r="P9" s="6">
        <v>18.442542897741404</v>
      </c>
    </row>
    <row r="10" spans="1:16">
      <c r="G10" s="217"/>
      <c r="H10" s="217">
        <v>0.5</v>
      </c>
      <c r="I10" s="217">
        <v>2</v>
      </c>
      <c r="J10" s="220">
        <f>+J5/30000</f>
        <v>9368.6914453977352</v>
      </c>
    </row>
    <row r="22" spans="3:3">
      <c r="C22" s="6"/>
    </row>
    <row r="23" spans="3:3">
      <c r="C23" s="6"/>
    </row>
    <row r="24" spans="3:3">
      <c r="C24" s="6"/>
    </row>
    <row r="25" spans="3:3">
      <c r="C25" s="6"/>
    </row>
    <row r="26" spans="3:3">
      <c r="C26" s="6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499984740745262"/>
  </sheetPr>
  <dimension ref="A1:G37"/>
  <sheetViews>
    <sheetView showGridLines="0" view="pageBreakPreview" zoomScaleSheetLayoutView="100" workbookViewId="0">
      <selection activeCell="I14" sqref="I14"/>
    </sheetView>
  </sheetViews>
  <sheetFormatPr baseColWidth="10" defaultRowHeight="15"/>
  <cols>
    <col min="1" max="1" width="29.42578125" customWidth="1"/>
    <col min="2" max="2" width="16.140625" style="11" customWidth="1"/>
    <col min="3" max="3" width="23" style="7" customWidth="1"/>
    <col min="4" max="5" width="22.28515625" customWidth="1"/>
    <col min="6" max="6" width="24.7109375" customWidth="1"/>
    <col min="7" max="7" width="13.28515625" customWidth="1"/>
    <col min="8" max="8" width="15.85546875" customWidth="1"/>
    <col min="9" max="9" width="15.42578125" customWidth="1"/>
    <col min="10" max="10" width="13.28515625" bestFit="1" customWidth="1"/>
    <col min="13" max="13" width="17.42578125" customWidth="1"/>
    <col min="14" max="14" width="16.85546875" customWidth="1"/>
    <col min="15" max="15" width="34.140625" customWidth="1"/>
  </cols>
  <sheetData>
    <row r="1" spans="1:7" ht="21" customHeight="1" thickBot="1">
      <c r="A1" s="56" t="s">
        <v>183</v>
      </c>
      <c r="C1" s="14"/>
      <c r="G1" s="121"/>
    </row>
    <row r="2" spans="1:7" ht="21" customHeight="1" thickBot="1">
      <c r="C2" s="14"/>
      <c r="G2" s="121"/>
    </row>
    <row r="3" spans="1:7" s="189" customFormat="1" ht="19.5" thickBot="1">
      <c r="A3" s="190" t="s">
        <v>91</v>
      </c>
      <c r="B3" s="191" t="s">
        <v>98</v>
      </c>
      <c r="C3" s="191" t="s">
        <v>134</v>
      </c>
      <c r="D3" s="749" t="s">
        <v>97</v>
      </c>
      <c r="E3" s="749"/>
      <c r="F3" s="750"/>
    </row>
    <row r="4" spans="1:7" s="189" customFormat="1">
      <c r="A4" s="192" t="s">
        <v>94</v>
      </c>
      <c r="B4" s="193">
        <f>B5</f>
        <v>0</v>
      </c>
      <c r="C4" s="194"/>
      <c r="D4" s="747"/>
      <c r="E4" s="747"/>
      <c r="F4" s="748"/>
    </row>
    <row r="5" spans="1:7" s="189" customFormat="1" ht="15.75" thickBot="1">
      <c r="A5" s="195" t="s">
        <v>174</v>
      </c>
      <c r="B5" s="196"/>
      <c r="C5" s="188" t="s">
        <v>95</v>
      </c>
      <c r="D5" s="743" t="s">
        <v>99</v>
      </c>
      <c r="E5" s="743"/>
      <c r="F5" s="744"/>
    </row>
    <row r="6" spans="1:7" s="189" customFormat="1">
      <c r="A6" s="197" t="s">
        <v>94</v>
      </c>
      <c r="B6" s="193" t="e">
        <f>SUM(B7:B13)</f>
        <v>#REF!</v>
      </c>
      <c r="C6" s="194" t="s">
        <v>96</v>
      </c>
      <c r="D6" s="747"/>
      <c r="E6" s="747"/>
      <c r="F6" s="748"/>
    </row>
    <row r="7" spans="1:7" s="189" customFormat="1">
      <c r="A7" s="186" t="s">
        <v>129</v>
      </c>
      <c r="B7" s="187" t="e">
        <f>#REF!</f>
        <v>#REF!</v>
      </c>
      <c r="C7" s="188" t="s">
        <v>42</v>
      </c>
      <c r="D7" s="743" t="s">
        <v>41</v>
      </c>
      <c r="E7" s="743"/>
      <c r="F7" s="744"/>
    </row>
    <row r="8" spans="1:7" s="189" customFormat="1">
      <c r="A8" s="186" t="s">
        <v>130</v>
      </c>
      <c r="B8" s="187"/>
      <c r="C8" s="188" t="s">
        <v>29</v>
      </c>
      <c r="D8" s="743" t="s">
        <v>162</v>
      </c>
      <c r="E8" s="743"/>
      <c r="F8" s="744"/>
    </row>
    <row r="9" spans="1:7" s="189" customFormat="1">
      <c r="A9" s="186" t="s">
        <v>131</v>
      </c>
      <c r="B9" s="187" t="e">
        <f>#REF!</f>
        <v>#REF!</v>
      </c>
      <c r="C9" s="188" t="s">
        <v>32</v>
      </c>
      <c r="D9" s="743" t="s">
        <v>40</v>
      </c>
      <c r="E9" s="743"/>
      <c r="F9" s="744"/>
    </row>
    <row r="10" spans="1:7" s="189" customFormat="1">
      <c r="A10" s="186" t="s">
        <v>132</v>
      </c>
      <c r="B10" s="187" t="e">
        <f>#REF!</f>
        <v>#REF!</v>
      </c>
      <c r="C10" s="188" t="s">
        <v>79</v>
      </c>
      <c r="D10" s="743" t="s">
        <v>39</v>
      </c>
      <c r="E10" s="743"/>
      <c r="F10" s="744"/>
    </row>
    <row r="11" spans="1:7" s="189" customFormat="1">
      <c r="A11" s="186" t="s">
        <v>133</v>
      </c>
      <c r="B11" s="187" t="e">
        <f>#REF!</f>
        <v>#REF!</v>
      </c>
      <c r="C11" s="188" t="s">
        <v>79</v>
      </c>
      <c r="D11" s="743" t="s">
        <v>38</v>
      </c>
      <c r="E11" s="743"/>
      <c r="F11" s="744"/>
    </row>
    <row r="12" spans="1:7" s="189" customFormat="1">
      <c r="A12" s="186" t="s">
        <v>191</v>
      </c>
      <c r="B12" s="187"/>
      <c r="C12" s="188" t="s">
        <v>79</v>
      </c>
      <c r="D12" s="743" t="s">
        <v>38</v>
      </c>
      <c r="E12" s="743"/>
      <c r="F12" s="744"/>
    </row>
    <row r="13" spans="1:7" s="189" customFormat="1" ht="15.75" thickBot="1">
      <c r="A13" s="186" t="s">
        <v>192</v>
      </c>
      <c r="B13" s="187"/>
      <c r="C13" s="188" t="s">
        <v>76</v>
      </c>
      <c r="D13" s="743" t="s">
        <v>75</v>
      </c>
      <c r="E13" s="743"/>
      <c r="F13" s="744"/>
    </row>
    <row r="14" spans="1:7" s="189" customFormat="1">
      <c r="A14" s="197" t="s">
        <v>70</v>
      </c>
      <c r="B14" s="193" t="e">
        <f>SUM(B15:B17)</f>
        <v>#REF!</v>
      </c>
      <c r="C14" s="194" t="s">
        <v>96</v>
      </c>
      <c r="D14" s="747"/>
      <c r="E14" s="747"/>
      <c r="F14" s="748"/>
    </row>
    <row r="15" spans="1:7" s="189" customFormat="1" ht="22.7" customHeight="1">
      <c r="A15" s="186" t="s">
        <v>175</v>
      </c>
      <c r="B15" s="196"/>
      <c r="C15" s="198"/>
      <c r="D15" s="743" t="s">
        <v>68</v>
      </c>
      <c r="E15" s="743"/>
      <c r="F15" s="744"/>
    </row>
    <row r="16" spans="1:7" s="189" customFormat="1">
      <c r="A16" s="186" t="s">
        <v>176</v>
      </c>
      <c r="B16" s="187" t="e">
        <f>#REF!</f>
        <v>#REF!</v>
      </c>
      <c r="C16" s="188"/>
      <c r="D16" s="743" t="s">
        <v>65</v>
      </c>
      <c r="E16" s="743"/>
      <c r="F16" s="744"/>
    </row>
    <row r="17" spans="1:6" s="189" customFormat="1" ht="15.75" thickBot="1">
      <c r="A17" s="186" t="s">
        <v>177</v>
      </c>
      <c r="B17" s="187" t="e">
        <f>#REF!</f>
        <v>#REF!</v>
      </c>
      <c r="C17" s="198"/>
      <c r="D17" s="743" t="s">
        <v>61</v>
      </c>
      <c r="E17" s="743"/>
      <c r="F17" s="744"/>
    </row>
    <row r="18" spans="1:6" s="189" customFormat="1">
      <c r="A18" s="197" t="s">
        <v>56</v>
      </c>
      <c r="B18" s="193" t="e">
        <f>B25+B32+B33+B34</f>
        <v>#REF!</v>
      </c>
      <c r="C18" s="194"/>
      <c r="D18" s="747"/>
      <c r="E18" s="747"/>
      <c r="F18" s="748"/>
    </row>
    <row r="19" spans="1:6" s="189" customFormat="1" ht="23.1" customHeight="1">
      <c r="A19" s="186" t="s">
        <v>129</v>
      </c>
      <c r="B19" s="199" t="e">
        <f>#REF!</f>
        <v>#REF!</v>
      </c>
      <c r="C19" s="188" t="s">
        <v>42</v>
      </c>
      <c r="D19" s="743" t="s">
        <v>41</v>
      </c>
      <c r="E19" s="743"/>
      <c r="F19" s="744"/>
    </row>
    <row r="20" spans="1:6" s="189" customFormat="1" ht="23.1" customHeight="1">
      <c r="A20" s="186" t="s">
        <v>131</v>
      </c>
      <c r="B20" s="199" t="e">
        <f>#REF!</f>
        <v>#REF!</v>
      </c>
      <c r="C20" s="188" t="s">
        <v>32</v>
      </c>
      <c r="D20" s="743" t="s">
        <v>40</v>
      </c>
      <c r="E20" s="743"/>
      <c r="F20" s="744"/>
    </row>
    <row r="21" spans="1:6" s="189" customFormat="1" ht="24" customHeight="1">
      <c r="A21" s="186" t="s">
        <v>184</v>
      </c>
      <c r="B21" s="199" t="e">
        <f>#REF!</f>
        <v>#REF!</v>
      </c>
      <c r="C21" s="188" t="s">
        <v>32</v>
      </c>
      <c r="D21" s="743" t="s">
        <v>39</v>
      </c>
      <c r="E21" s="743"/>
      <c r="F21" s="744"/>
    </row>
    <row r="22" spans="1:6" s="189" customFormat="1" ht="24" customHeight="1">
      <c r="A22" s="186" t="s">
        <v>185</v>
      </c>
      <c r="B22" s="199" t="e">
        <f>#REF!</f>
        <v>#REF!</v>
      </c>
      <c r="C22" s="188" t="s">
        <v>32</v>
      </c>
      <c r="D22" s="743" t="s">
        <v>38</v>
      </c>
      <c r="E22" s="743"/>
      <c r="F22" s="744"/>
    </row>
    <row r="23" spans="1:6" s="189" customFormat="1" ht="27" customHeight="1">
      <c r="A23" s="186" t="s">
        <v>186</v>
      </c>
      <c r="B23" s="199" t="e">
        <f>#REF!</f>
        <v>#REF!</v>
      </c>
      <c r="C23" s="188" t="s">
        <v>29</v>
      </c>
      <c r="D23" s="743" t="s">
        <v>45</v>
      </c>
      <c r="E23" s="743"/>
      <c r="F23" s="744"/>
    </row>
    <row r="24" spans="1:6" s="189" customFormat="1" ht="15.75" thickBot="1">
      <c r="A24" s="186" t="s">
        <v>187</v>
      </c>
      <c r="B24" s="199" t="e">
        <f>#REF!</f>
        <v>#REF!</v>
      </c>
      <c r="C24" s="188" t="s">
        <v>32</v>
      </c>
      <c r="D24" s="743" t="s">
        <v>36</v>
      </c>
      <c r="E24" s="743"/>
      <c r="F24" s="744"/>
    </row>
    <row r="25" spans="1:6" s="189" customFormat="1" ht="12" customHeight="1">
      <c r="A25" s="200" t="s">
        <v>44</v>
      </c>
      <c r="B25" s="201" t="e">
        <f>SUM(B19:B24)</f>
        <v>#REF!</v>
      </c>
      <c r="C25" s="202" t="s">
        <v>161</v>
      </c>
      <c r="D25" s="745" t="s">
        <v>43</v>
      </c>
      <c r="E25" s="745"/>
      <c r="F25" s="746"/>
    </row>
    <row r="26" spans="1:6" s="189" customFormat="1" ht="29.65" customHeight="1">
      <c r="A26" s="186" t="s">
        <v>129</v>
      </c>
      <c r="B26" s="187" t="e">
        <f>#REF!</f>
        <v>#REF!</v>
      </c>
      <c r="C26" s="188" t="s">
        <v>42</v>
      </c>
      <c r="D26" s="743" t="s">
        <v>41</v>
      </c>
      <c r="E26" s="743"/>
      <c r="F26" s="744"/>
    </row>
    <row r="27" spans="1:6" s="189" customFormat="1" ht="20.45" customHeight="1">
      <c r="A27" s="186" t="s">
        <v>131</v>
      </c>
      <c r="B27" s="187" t="e">
        <f>#REF!</f>
        <v>#REF!</v>
      </c>
      <c r="C27" s="188" t="s">
        <v>32</v>
      </c>
      <c r="D27" s="743" t="s">
        <v>40</v>
      </c>
      <c r="E27" s="743"/>
      <c r="F27" s="744"/>
    </row>
    <row r="28" spans="1:6" s="189" customFormat="1" ht="18.600000000000001" customHeight="1">
      <c r="A28" s="186" t="s">
        <v>184</v>
      </c>
      <c r="B28" s="187" t="e">
        <f>#REF!</f>
        <v>#REF!</v>
      </c>
      <c r="C28" s="188" t="s">
        <v>32</v>
      </c>
      <c r="D28" s="743" t="s">
        <v>39</v>
      </c>
      <c r="E28" s="743"/>
      <c r="F28" s="744"/>
    </row>
    <row r="29" spans="1:6" s="189" customFormat="1" ht="18" customHeight="1">
      <c r="A29" s="186" t="s">
        <v>185</v>
      </c>
      <c r="B29" s="187" t="e">
        <f>#REF!</f>
        <v>#REF!</v>
      </c>
      <c r="C29" s="188" t="s">
        <v>32</v>
      </c>
      <c r="D29" s="743" t="s">
        <v>38</v>
      </c>
      <c r="E29" s="743"/>
      <c r="F29" s="744"/>
    </row>
    <row r="30" spans="1:6" s="189" customFormat="1" ht="30" customHeight="1">
      <c r="A30" s="186" t="s">
        <v>186</v>
      </c>
      <c r="B30" s="187" t="e">
        <f>#REF!</f>
        <v>#REF!</v>
      </c>
      <c r="C30" s="188" t="s">
        <v>29</v>
      </c>
      <c r="D30" s="743" t="s">
        <v>37</v>
      </c>
      <c r="E30" s="743"/>
      <c r="F30" s="744"/>
    </row>
    <row r="31" spans="1:6" s="189" customFormat="1" ht="20.100000000000001" customHeight="1" thickBot="1">
      <c r="A31" s="186" t="s">
        <v>187</v>
      </c>
      <c r="B31" s="187" t="e">
        <f>#REF!</f>
        <v>#REF!</v>
      </c>
      <c r="C31" s="188" t="s">
        <v>32</v>
      </c>
      <c r="D31" s="743" t="s">
        <v>36</v>
      </c>
      <c r="E31" s="743"/>
      <c r="F31" s="744"/>
    </row>
    <row r="32" spans="1:6" s="189" customFormat="1">
      <c r="A32" s="200" t="s">
        <v>35</v>
      </c>
      <c r="B32" s="201" t="e">
        <f>SUM(B26:B31)</f>
        <v>#REF!</v>
      </c>
      <c r="C32" s="202" t="s">
        <v>161</v>
      </c>
      <c r="D32" s="745" t="s">
        <v>33</v>
      </c>
      <c r="E32" s="745"/>
      <c r="F32" s="746"/>
    </row>
    <row r="33" spans="1:6" s="189" customFormat="1" ht="22.5" customHeight="1">
      <c r="A33" s="186" t="s">
        <v>187</v>
      </c>
      <c r="B33" s="203" t="e">
        <f>#REF!</f>
        <v>#REF!</v>
      </c>
      <c r="C33" s="188" t="s">
        <v>32</v>
      </c>
      <c r="D33" s="743" t="s">
        <v>31</v>
      </c>
      <c r="E33" s="743"/>
      <c r="F33" s="744"/>
    </row>
    <row r="34" spans="1:6" s="189" customFormat="1" ht="21.4" customHeight="1" thickBot="1">
      <c r="A34" s="186" t="s">
        <v>30</v>
      </c>
      <c r="B34" s="203"/>
      <c r="C34" s="188" t="s">
        <v>29</v>
      </c>
      <c r="D34" s="743" t="s">
        <v>28</v>
      </c>
      <c r="E34" s="743"/>
      <c r="F34" s="744"/>
    </row>
    <row r="35" spans="1:6" s="189" customFormat="1">
      <c r="A35" s="197" t="s">
        <v>194</v>
      </c>
      <c r="B35" s="193" t="e">
        <f>B36</f>
        <v>#REF!</v>
      </c>
      <c r="C35" s="194"/>
      <c r="D35" s="747"/>
      <c r="E35" s="747"/>
      <c r="F35" s="748"/>
    </row>
    <row r="36" spans="1:6" s="189" customFormat="1">
      <c r="A36" s="204" t="s">
        <v>205</v>
      </c>
      <c r="B36" s="203" t="e">
        <f>(#REF!+#REF!)-('MVM1'!B32+'MVM1'!B25)</f>
        <v>#REF!</v>
      </c>
      <c r="C36" s="198"/>
      <c r="D36" s="741"/>
      <c r="E36" s="741"/>
      <c r="F36" s="742"/>
    </row>
    <row r="37" spans="1:6" s="3" customFormat="1">
      <c r="A37" s="126"/>
      <c r="B37" s="127"/>
      <c r="C37" s="128"/>
      <c r="D37" s="129"/>
      <c r="E37" s="129"/>
      <c r="F37" s="129"/>
    </row>
  </sheetData>
  <mergeCells count="34">
    <mergeCell ref="D4:F4"/>
    <mergeCell ref="D3:F3"/>
    <mergeCell ref="D12:F12"/>
    <mergeCell ref="D7:F7"/>
    <mergeCell ref="D8:F8"/>
    <mergeCell ref="D9:F9"/>
    <mergeCell ref="D10:F10"/>
    <mergeCell ref="D11:F11"/>
    <mergeCell ref="D6:F6"/>
    <mergeCell ref="D13:F13"/>
    <mergeCell ref="D14:F14"/>
    <mergeCell ref="D15:F15"/>
    <mergeCell ref="D16:F16"/>
    <mergeCell ref="D5:F5"/>
    <mergeCell ref="D17:F17"/>
    <mergeCell ref="D29:F29"/>
    <mergeCell ref="D30:F30"/>
    <mergeCell ref="D31:F31"/>
    <mergeCell ref="D32:F32"/>
    <mergeCell ref="D28:F28"/>
    <mergeCell ref="D18:F18"/>
    <mergeCell ref="D19:F19"/>
    <mergeCell ref="D20:F20"/>
    <mergeCell ref="D21:F21"/>
    <mergeCell ref="D22:F22"/>
    <mergeCell ref="D36:F36"/>
    <mergeCell ref="D23:F23"/>
    <mergeCell ref="D24:F24"/>
    <mergeCell ref="D25:F25"/>
    <mergeCell ref="D26:F26"/>
    <mergeCell ref="D27:F27"/>
    <mergeCell ref="D33:F33"/>
    <mergeCell ref="D34:F34"/>
    <mergeCell ref="D35:F35"/>
  </mergeCells>
  <pageMargins left="0.7" right="0.7" top="0.75" bottom="0.75" header="0.3" footer="0.3"/>
  <pageSetup paperSize="9" scale="8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-0.499984740745262"/>
  </sheetPr>
  <dimension ref="A1:G28"/>
  <sheetViews>
    <sheetView showGridLines="0" view="pageBreakPreview" zoomScaleSheetLayoutView="100" workbookViewId="0">
      <selection activeCell="A2" sqref="A2:F3"/>
    </sheetView>
  </sheetViews>
  <sheetFormatPr baseColWidth="10" defaultRowHeight="15"/>
  <cols>
    <col min="1" max="1" width="24.42578125" customWidth="1"/>
    <col min="2" max="2" width="18" customWidth="1"/>
    <col min="3" max="3" width="21.42578125" customWidth="1"/>
    <col min="4" max="4" width="15.85546875" customWidth="1"/>
    <col min="5" max="5" width="15" customWidth="1"/>
    <col min="6" max="6" width="13.42578125" customWidth="1"/>
    <col min="7" max="7" width="1.85546875" customWidth="1"/>
  </cols>
  <sheetData>
    <row r="1" spans="1:7" ht="18.75">
      <c r="A1" s="56" t="s">
        <v>182</v>
      </c>
      <c r="B1" s="11"/>
      <c r="C1" s="7"/>
    </row>
    <row r="2" spans="1:7">
      <c r="A2" s="113" t="s">
        <v>42</v>
      </c>
      <c r="B2" s="113" t="s">
        <v>95</v>
      </c>
      <c r="C2" s="113" t="s">
        <v>32</v>
      </c>
      <c r="D2" s="113" t="s">
        <v>34</v>
      </c>
      <c r="E2" s="113" t="s">
        <v>29</v>
      </c>
      <c r="F2" s="113" t="s">
        <v>96</v>
      </c>
      <c r="G2" t="s">
        <v>95</v>
      </c>
    </row>
    <row r="3" spans="1:7">
      <c r="A3" s="114" t="e">
        <f>'MVM1'!$B$7+'MVM1'!$B$19+'MVM1'!$B$26</f>
        <v>#REF!</v>
      </c>
      <c r="B3" s="114" t="e">
        <f>V.INTEGRAL!#REF!</f>
        <v>#REF!</v>
      </c>
      <c r="C3" s="114" t="e">
        <f>'MVM1'!$B$9+'MVM1'!$B$10+'MVM1'!$B$11+'MVM1'!$B$20+'MVM1'!$B$21+'MVM1'!$B$22+'MVM1'!$B$24+'MVM1'!$B$27+'MVM1'!$B$28+'MVM1'!$B$29+'MVM1'!$B$31+'MVM1'!$B$33</f>
        <v>#REF!</v>
      </c>
      <c r="D3" s="114" t="e">
        <f>'MVM1'!$B$13+'MVM1'!$B$25+'MVM1'!$B$32</f>
        <v>#REF!</v>
      </c>
      <c r="E3" s="114" t="e">
        <f>'MVM1'!$B$23+'MVM1'!$B$30+'MVM1'!$B$34+'MVM1'!$B$8</f>
        <v>#REF!</v>
      </c>
      <c r="F3" s="115">
        <f>V.INTEGRAL!B9</f>
        <v>74179988</v>
      </c>
      <c r="G3" t="s">
        <v>193</v>
      </c>
    </row>
    <row r="4" spans="1:7">
      <c r="B4" s="13" t="s">
        <v>116</v>
      </c>
      <c r="F4" s="6"/>
    </row>
    <row r="6" spans="1:7">
      <c r="A6" s="10"/>
      <c r="B6" s="106" t="s">
        <v>93</v>
      </c>
      <c r="C6" s="107" t="s">
        <v>195</v>
      </c>
      <c r="D6" s="110" t="s">
        <v>84</v>
      </c>
      <c r="E6" s="64"/>
      <c r="F6" s="111" t="s">
        <v>48</v>
      </c>
    </row>
    <row r="7" spans="1:7">
      <c r="A7" s="104" t="s">
        <v>90</v>
      </c>
      <c r="B7" s="108" t="e">
        <f>'MVM1'!B6</f>
        <v>#REF!</v>
      </c>
      <c r="C7" s="108" t="e">
        <f>'MVM1'!B14</f>
        <v>#REF!</v>
      </c>
      <c r="D7" s="119" t="e">
        <f>B7+C7</f>
        <v>#REF!</v>
      </c>
      <c r="E7" s="109" t="e">
        <f>B7/(B7+C7)</f>
        <v>#REF!</v>
      </c>
      <c r="F7" s="112" t="e">
        <f>(F3/B9)-1</f>
        <v>#REF!</v>
      </c>
    </row>
    <row r="8" spans="1:7" ht="15.75" thickBot="1">
      <c r="A8" s="105" t="s">
        <v>87</v>
      </c>
      <c r="B8" s="108" t="e">
        <f>'MVM1'!B18</f>
        <v>#REF!</v>
      </c>
      <c r="C8" s="108" t="e">
        <f>'MVM1'!B35</f>
        <v>#REF!</v>
      </c>
      <c r="D8" s="120" t="e">
        <f>B8+C8</f>
        <v>#REF!</v>
      </c>
      <c r="E8" s="109" t="e">
        <f>B8/(B8+C8)</f>
        <v>#REF!</v>
      </c>
    </row>
    <row r="9" spans="1:7" ht="16.5" thickBot="1">
      <c r="A9" s="9" t="s">
        <v>84</v>
      </c>
      <c r="B9" s="116" t="e">
        <f>B7+B8</f>
        <v>#REF!</v>
      </c>
      <c r="C9" s="117" t="e">
        <f>C7+C8</f>
        <v>#REF!</v>
      </c>
      <c r="D9" s="118" t="e">
        <f>D7+D8</f>
        <v>#REF!</v>
      </c>
      <c r="E9" s="109" t="e">
        <f>B9/(B9+C9)</f>
        <v>#REF!</v>
      </c>
    </row>
    <row r="10" spans="1:7">
      <c r="B10" s="109" t="e">
        <f>B7/B9</f>
        <v>#REF!</v>
      </c>
      <c r="C10" s="109" t="e">
        <f>C7/C9</f>
        <v>#REF!</v>
      </c>
      <c r="D10" s="109" t="e">
        <f>D7/D9</f>
        <v>#REF!</v>
      </c>
      <c r="E10" s="8"/>
    </row>
    <row r="11" spans="1:7">
      <c r="A11" s="18"/>
      <c r="B11" s="85"/>
      <c r="C11" s="86"/>
      <c r="D11" s="18"/>
    </row>
    <row r="12" spans="1:7" ht="15.75" thickBot="1">
      <c r="A12" s="87" t="s">
        <v>25</v>
      </c>
      <c r="B12" s="88" t="s">
        <v>92</v>
      </c>
      <c r="C12" s="88" t="s">
        <v>91</v>
      </c>
      <c r="D12" s="89" t="s">
        <v>158</v>
      </c>
      <c r="E12" s="16"/>
    </row>
    <row r="13" spans="1:7" ht="39" thickBot="1">
      <c r="A13" s="90" t="s">
        <v>89</v>
      </c>
      <c r="B13" s="91" t="e">
        <f>$D$7</f>
        <v>#REF!</v>
      </c>
      <c r="C13" s="92" t="s">
        <v>88</v>
      </c>
      <c r="D13" s="93" t="s">
        <v>49</v>
      </c>
    </row>
    <row r="14" spans="1:7" ht="39" thickBot="1">
      <c r="A14" s="90" t="s">
        <v>86</v>
      </c>
      <c r="B14" s="94" t="e">
        <f>$D$8</f>
        <v>#REF!</v>
      </c>
      <c r="C14" s="95" t="s">
        <v>85</v>
      </c>
      <c r="D14" s="96" t="s">
        <v>49</v>
      </c>
    </row>
    <row r="15" spans="1:7" ht="51.75" thickBot="1">
      <c r="A15" s="90" t="s">
        <v>83</v>
      </c>
      <c r="B15" s="97" t="e">
        <f>$B$9</f>
        <v>#REF!</v>
      </c>
      <c r="C15" s="92" t="s">
        <v>82</v>
      </c>
      <c r="D15" s="93" t="s">
        <v>49</v>
      </c>
    </row>
    <row r="16" spans="1:7" ht="51.75" thickBot="1">
      <c r="A16" s="90" t="s">
        <v>81</v>
      </c>
      <c r="B16" s="98" t="e">
        <f>$C$9</f>
        <v>#REF!</v>
      </c>
      <c r="C16" s="99" t="s">
        <v>80</v>
      </c>
      <c r="D16" s="96" t="s">
        <v>46</v>
      </c>
    </row>
    <row r="17" spans="1:5" ht="64.5" thickBot="1">
      <c r="A17" s="90" t="s">
        <v>78</v>
      </c>
      <c r="B17" s="97" t="e">
        <f>$B$7</f>
        <v>#REF!</v>
      </c>
      <c r="C17" s="92" t="s">
        <v>77</v>
      </c>
      <c r="D17" s="93" t="s">
        <v>49</v>
      </c>
    </row>
    <row r="18" spans="1:5" ht="64.5" thickBot="1">
      <c r="A18" s="90" t="s">
        <v>74</v>
      </c>
      <c r="B18" s="98" t="e">
        <f>$C$7</f>
        <v>#REF!</v>
      </c>
      <c r="C18" s="95" t="s">
        <v>73</v>
      </c>
      <c r="D18" s="96" t="s">
        <v>49</v>
      </c>
    </row>
    <row r="19" spans="1:5" ht="64.5" thickBot="1">
      <c r="A19" s="90" t="s">
        <v>72</v>
      </c>
      <c r="B19" s="97" t="e">
        <f>$B$8</f>
        <v>#REF!</v>
      </c>
      <c r="C19" s="92" t="s">
        <v>71</v>
      </c>
      <c r="D19" s="93" t="s">
        <v>49</v>
      </c>
    </row>
    <row r="20" spans="1:5" ht="51.75" thickBot="1">
      <c r="A20" s="90" t="s">
        <v>196</v>
      </c>
      <c r="B20" s="98" t="e">
        <f>$C$8</f>
        <v>#REF!</v>
      </c>
      <c r="C20" s="95" t="s">
        <v>69</v>
      </c>
      <c r="D20" s="96" t="s">
        <v>46</v>
      </c>
    </row>
    <row r="21" spans="1:5" ht="51.75" thickBot="1">
      <c r="A21" s="90" t="s">
        <v>67</v>
      </c>
      <c r="B21" s="100" t="e">
        <f>$D$9</f>
        <v>#REF!</v>
      </c>
      <c r="C21" s="92" t="s">
        <v>66</v>
      </c>
      <c r="D21" s="93" t="s">
        <v>49</v>
      </c>
    </row>
    <row r="22" spans="1:5" ht="51.75" thickBot="1">
      <c r="A22" s="90" t="s">
        <v>64</v>
      </c>
      <c r="B22" s="101" t="e">
        <f>$E$9</f>
        <v>#REF!</v>
      </c>
      <c r="C22" s="95" t="s">
        <v>63</v>
      </c>
      <c r="D22" s="96" t="s">
        <v>49</v>
      </c>
    </row>
    <row r="23" spans="1:5" ht="39" thickBot="1">
      <c r="A23" s="90" t="s">
        <v>60</v>
      </c>
      <c r="B23" s="102" t="e">
        <f>$D$10</f>
        <v>#REF!</v>
      </c>
      <c r="C23" s="92" t="s">
        <v>59</v>
      </c>
      <c r="D23" s="93" t="s">
        <v>49</v>
      </c>
    </row>
    <row r="24" spans="1:5" ht="51.75" thickBot="1">
      <c r="A24" s="90" t="s">
        <v>58</v>
      </c>
      <c r="B24" s="101" t="e">
        <f>$E$7</f>
        <v>#REF!</v>
      </c>
      <c r="C24" s="95" t="s">
        <v>57</v>
      </c>
      <c r="D24" s="96" t="s">
        <v>49</v>
      </c>
    </row>
    <row r="25" spans="1:5" ht="39" thickBot="1">
      <c r="A25" s="90" t="s">
        <v>55</v>
      </c>
      <c r="B25" s="102" t="e">
        <f>$E$8</f>
        <v>#REF!</v>
      </c>
      <c r="C25" s="92" t="s">
        <v>54</v>
      </c>
      <c r="D25" s="93" t="s">
        <v>46</v>
      </c>
    </row>
    <row r="26" spans="1:5" ht="39" thickBot="1">
      <c r="A26" s="90" t="s">
        <v>53</v>
      </c>
      <c r="B26" s="101" t="e">
        <f>$B$10</f>
        <v>#REF!</v>
      </c>
      <c r="C26" s="95" t="s">
        <v>52</v>
      </c>
      <c r="D26" s="96" t="s">
        <v>49</v>
      </c>
    </row>
    <row r="27" spans="1:5" ht="39" thickBot="1">
      <c r="A27" s="90" t="s">
        <v>51</v>
      </c>
      <c r="B27" s="102" t="e">
        <f>$C$10</f>
        <v>#REF!</v>
      </c>
      <c r="C27" s="92" t="s">
        <v>50</v>
      </c>
      <c r="D27" s="93" t="s">
        <v>49</v>
      </c>
    </row>
    <row r="28" spans="1:5" ht="51.75" thickBot="1">
      <c r="A28" s="90" t="s">
        <v>48</v>
      </c>
      <c r="B28" s="103" t="e">
        <f>$F$7</f>
        <v>#REF!</v>
      </c>
      <c r="C28" s="95" t="s">
        <v>47</v>
      </c>
      <c r="D28" s="96" t="s">
        <v>46</v>
      </c>
      <c r="E28" s="17"/>
    </row>
  </sheetData>
  <dataValidations count="1">
    <dataValidation type="list" showInputMessage="1" showErrorMessage="1" sqref="B2" xr:uid="{00000000-0002-0000-1900-000000000000}">
      <formula1>$G$2:$G$3</formula1>
    </dataValidation>
  </dataValidations>
  <pageMargins left="0.7" right="0.7" top="0.75" bottom="0.75" header="0.3" footer="0.3"/>
  <pageSetup paperSize="9" scale="72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A3"/>
  <sheetViews>
    <sheetView showGridLines="0" workbookViewId="0">
      <selection activeCell="K10" sqref="K10"/>
    </sheetView>
  </sheetViews>
  <sheetFormatPr baseColWidth="10" defaultRowHeight="15"/>
  <sheetData>
    <row r="1" spans="1:1" ht="27">
      <c r="A1" s="27" t="s">
        <v>163</v>
      </c>
    </row>
    <row r="3" spans="1:1">
      <c r="A3" t="s">
        <v>164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o" dvAspect="DVASPECT_ICON" shapeId="40961" r:id="rId4">
          <object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</xdr:col>
                <xdr:colOff>123825</xdr:colOff>
                <xdr:row>7</xdr:row>
                <xdr:rowOff>57150</xdr:rowOff>
              </to>
            </anchor>
          </objectPr>
        </oleObject>
      </mc:Choice>
      <mc:Fallback>
        <oleObject progId="Documento" dvAspect="DVASPECT_ICON" shapeId="40961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B1:J27"/>
  <sheetViews>
    <sheetView showGridLines="0" topLeftCell="A9" zoomScale="90" zoomScaleNormal="90" zoomScaleSheetLayoutView="70" workbookViewId="0">
      <selection activeCell="I13" sqref="I13"/>
    </sheetView>
  </sheetViews>
  <sheetFormatPr baseColWidth="10" defaultColWidth="11.42578125" defaultRowHeight="15"/>
  <cols>
    <col min="1" max="1" width="1.28515625" style="29" customWidth="1"/>
    <col min="2" max="2" width="2.28515625" style="29" customWidth="1"/>
    <col min="3" max="3" width="30.85546875" style="29" bestFit="1" customWidth="1"/>
    <col min="4" max="4" width="7.7109375" style="29" customWidth="1"/>
    <col min="5" max="5" width="70.28515625" style="29" bestFit="1" customWidth="1"/>
    <col min="6" max="6" width="7.42578125" style="29" customWidth="1"/>
    <col min="7" max="7" width="36.42578125" style="29" customWidth="1"/>
    <col min="8" max="8" width="2" style="29" customWidth="1"/>
    <col min="9" max="9" width="35.28515625" style="29" bestFit="1" customWidth="1"/>
    <col min="10" max="10" width="2.28515625" style="29" customWidth="1"/>
    <col min="11" max="11" width="1.140625" style="29" customWidth="1"/>
    <col min="12" max="16384" width="11.42578125" style="29"/>
  </cols>
  <sheetData>
    <row r="1" spans="2:10">
      <c r="B1" s="28"/>
      <c r="C1" s="28"/>
      <c r="D1" s="28"/>
      <c r="E1" s="28"/>
      <c r="F1" s="28"/>
      <c r="G1" s="28"/>
      <c r="H1" s="28"/>
      <c r="I1" s="28"/>
      <c r="J1" s="28"/>
    </row>
    <row r="2" spans="2:10">
      <c r="B2" s="28"/>
      <c r="C2" s="28"/>
      <c r="D2" s="28"/>
      <c r="E2" s="28"/>
      <c r="F2" s="28"/>
      <c r="G2" s="28"/>
      <c r="H2" s="28"/>
      <c r="I2" s="28"/>
      <c r="J2" s="28"/>
    </row>
    <row r="3" spans="2:10">
      <c r="B3" s="28"/>
      <c r="C3" s="28"/>
      <c r="D3" s="28"/>
      <c r="E3" s="28"/>
      <c r="F3" s="28"/>
      <c r="G3" s="28"/>
      <c r="H3" s="28"/>
      <c r="I3" s="28"/>
      <c r="J3" s="28"/>
    </row>
    <row r="4" spans="2:10" ht="15.75" thickBot="1">
      <c r="B4" s="28"/>
      <c r="C4" s="28"/>
      <c r="D4" s="28"/>
      <c r="E4" s="28"/>
      <c r="F4" s="28"/>
      <c r="G4" s="28"/>
      <c r="H4" s="28"/>
      <c r="I4" s="28"/>
      <c r="J4" s="28"/>
    </row>
    <row r="5" spans="2:10" ht="29.25" thickTop="1">
      <c r="B5" s="30"/>
      <c r="C5" s="31"/>
      <c r="D5" s="32"/>
      <c r="E5" s="723" t="s">
        <v>119</v>
      </c>
      <c r="F5" s="723"/>
      <c r="G5" s="723"/>
      <c r="H5" s="723"/>
      <c r="I5" s="32"/>
      <c r="J5" s="33"/>
    </row>
    <row r="6" spans="2:10" ht="15.75" thickBot="1">
      <c r="B6" s="34"/>
      <c r="C6" s="35"/>
      <c r="D6" s="35"/>
      <c r="E6" s="35"/>
      <c r="F6" s="35"/>
      <c r="G6" s="35"/>
      <c r="H6" s="35"/>
      <c r="I6" s="35"/>
      <c r="J6" s="36"/>
    </row>
    <row r="7" spans="2:10" ht="20.25" thickTop="1" thickBot="1">
      <c r="B7" s="34"/>
      <c r="C7" s="131" t="s">
        <v>144</v>
      </c>
      <c r="D7" s="35"/>
      <c r="E7" s="35"/>
      <c r="F7" s="35"/>
      <c r="G7" s="35"/>
      <c r="H7" s="35"/>
      <c r="I7" s="35"/>
      <c r="J7" s="36"/>
    </row>
    <row r="8" spans="2:10" ht="16.5" thickTop="1" thickBot="1">
      <c r="B8" s="34"/>
      <c r="C8" s="35"/>
      <c r="D8" s="35"/>
      <c r="E8" s="35"/>
      <c r="F8" s="35"/>
      <c r="G8" s="35"/>
      <c r="H8" s="35"/>
      <c r="I8" s="35"/>
      <c r="J8" s="36"/>
    </row>
    <row r="9" spans="2:10" ht="20.25" thickTop="1" thickBot="1">
      <c r="B9" s="34"/>
      <c r="C9" s="43" t="s">
        <v>128</v>
      </c>
      <c r="D9" s="35"/>
      <c r="E9" s="37" t="s">
        <v>171</v>
      </c>
      <c r="F9" s="35"/>
      <c r="G9" s="130" t="s">
        <v>145</v>
      </c>
      <c r="H9" s="35"/>
      <c r="I9" s="132" t="s">
        <v>146</v>
      </c>
      <c r="J9" s="36"/>
    </row>
    <row r="10" spans="2:10">
      <c r="B10" s="34"/>
      <c r="C10" s="35"/>
      <c r="D10" s="35"/>
      <c r="E10" s="35"/>
      <c r="F10" s="35"/>
      <c r="G10" s="35"/>
      <c r="H10" s="35"/>
      <c r="I10" s="35"/>
      <c r="J10" s="36"/>
    </row>
    <row r="11" spans="2:10" ht="15.75">
      <c r="B11" s="34"/>
      <c r="C11" s="39" t="s">
        <v>120</v>
      </c>
      <c r="D11" s="35"/>
      <c r="E11" s="38" t="s">
        <v>149</v>
      </c>
      <c r="F11" s="35"/>
      <c r="G11" s="35"/>
      <c r="H11" s="35"/>
      <c r="I11" s="35"/>
      <c r="J11" s="36"/>
    </row>
    <row r="12" spans="2:10">
      <c r="B12" s="34"/>
      <c r="C12" s="35"/>
      <c r="D12" s="35"/>
      <c r="E12" s="35"/>
      <c r="F12" s="35"/>
      <c r="G12" s="35"/>
      <c r="H12" s="35"/>
      <c r="I12" s="35"/>
      <c r="J12" s="36"/>
    </row>
    <row r="13" spans="2:10" ht="15.75">
      <c r="B13" s="34"/>
      <c r="C13" s="39" t="s">
        <v>121</v>
      </c>
      <c r="D13" s="35"/>
      <c r="E13" s="38" t="s">
        <v>148</v>
      </c>
      <c r="F13" s="35"/>
      <c r="G13" s="133" t="s">
        <v>110</v>
      </c>
      <c r="H13" s="35"/>
      <c r="I13" s="134" t="s">
        <v>111</v>
      </c>
      <c r="J13" s="36"/>
    </row>
    <row r="14" spans="2:10" ht="15.75">
      <c r="B14" s="34"/>
      <c r="C14" s="35"/>
      <c r="D14" s="35"/>
      <c r="E14" s="42"/>
      <c r="F14" s="35"/>
      <c r="G14" s="35"/>
      <c r="H14" s="35"/>
      <c r="I14" s="35"/>
      <c r="J14" s="36"/>
    </row>
    <row r="15" spans="2:10" ht="15.75">
      <c r="B15" s="34"/>
      <c r="C15" s="39" t="s">
        <v>122</v>
      </c>
      <c r="D15" s="35"/>
      <c r="E15" s="38" t="s">
        <v>147</v>
      </c>
      <c r="F15" s="35"/>
      <c r="G15" s="35"/>
      <c r="H15" s="35"/>
      <c r="I15" s="35"/>
      <c r="J15" s="36"/>
    </row>
    <row r="16" spans="2:10" ht="15.75">
      <c r="B16" s="34"/>
      <c r="C16" s="35"/>
      <c r="D16" s="35"/>
      <c r="E16" s="42"/>
      <c r="F16" s="35"/>
      <c r="G16" s="35"/>
      <c r="H16" s="35"/>
      <c r="I16" s="35"/>
      <c r="J16" s="36"/>
    </row>
    <row r="17" spans="2:10" ht="15.75">
      <c r="B17" s="34"/>
      <c r="C17" s="39" t="s">
        <v>179</v>
      </c>
      <c r="D17" s="35"/>
      <c r="E17" s="38" t="s">
        <v>180</v>
      </c>
      <c r="F17" s="35"/>
      <c r="G17" s="133" t="s">
        <v>173</v>
      </c>
      <c r="H17" s="35"/>
      <c r="I17" s="134" t="s">
        <v>113</v>
      </c>
      <c r="J17" s="36"/>
    </row>
    <row r="18" spans="2:10" ht="15.75">
      <c r="B18" s="34"/>
      <c r="C18" s="35"/>
      <c r="D18" s="35"/>
      <c r="E18" s="42"/>
      <c r="F18" s="35"/>
      <c r="G18" s="35"/>
      <c r="H18" s="35"/>
      <c r="I18" s="35"/>
      <c r="J18" s="36"/>
    </row>
    <row r="19" spans="2:10" ht="15.75">
      <c r="B19" s="34"/>
      <c r="C19" s="39" t="s">
        <v>123</v>
      </c>
      <c r="D19" s="35"/>
      <c r="E19" s="35"/>
      <c r="F19" s="35"/>
      <c r="G19" s="133" t="s">
        <v>181</v>
      </c>
      <c r="H19" s="35"/>
      <c r="I19" s="35"/>
      <c r="J19" s="36"/>
    </row>
    <row r="20" spans="2:10">
      <c r="B20" s="34"/>
      <c r="C20" s="35"/>
      <c r="D20" s="35"/>
      <c r="E20" s="35"/>
      <c r="F20" s="35"/>
      <c r="G20" s="35"/>
      <c r="H20" s="35"/>
      <c r="I20" s="35"/>
      <c r="J20" s="36"/>
    </row>
    <row r="21" spans="2:10" ht="15.75">
      <c r="B21" s="34"/>
      <c r="C21" s="125" t="s">
        <v>169</v>
      </c>
      <c r="D21" s="35"/>
      <c r="E21" s="35"/>
      <c r="F21" s="35"/>
      <c r="G21" s="133" t="s">
        <v>109</v>
      </c>
      <c r="H21" s="35"/>
      <c r="I21" s="134" t="s">
        <v>115</v>
      </c>
      <c r="J21" s="36"/>
    </row>
    <row r="22" spans="2:10">
      <c r="B22" s="34"/>
      <c r="C22" s="35"/>
      <c r="D22" s="35"/>
      <c r="E22" s="35"/>
      <c r="F22" s="35"/>
      <c r="G22" s="35"/>
      <c r="H22" s="35"/>
      <c r="I22" s="35"/>
      <c r="J22" s="36"/>
    </row>
    <row r="23" spans="2:10" ht="16.5" customHeight="1">
      <c r="B23" s="34"/>
      <c r="C23" s="125" t="s">
        <v>170</v>
      </c>
      <c r="D23" s="35"/>
      <c r="E23" s="35"/>
      <c r="F23" s="35"/>
      <c r="G23" s="133" t="s">
        <v>114</v>
      </c>
      <c r="H23" s="35"/>
      <c r="I23" s="35"/>
      <c r="J23" s="36"/>
    </row>
    <row r="24" spans="2:10" ht="15.75" customHeight="1">
      <c r="B24" s="34"/>
      <c r="C24" s="35"/>
      <c r="D24" s="35"/>
      <c r="E24" s="35"/>
      <c r="F24" s="35"/>
      <c r="G24" s="133" t="s">
        <v>172</v>
      </c>
      <c r="H24" s="35"/>
      <c r="I24" s="35"/>
      <c r="J24" s="36"/>
    </row>
    <row r="25" spans="2:10" ht="15.75" customHeight="1">
      <c r="B25" s="34"/>
      <c r="C25" s="35"/>
      <c r="D25" s="35"/>
      <c r="E25" s="35"/>
      <c r="F25" s="35"/>
      <c r="G25" s="35"/>
      <c r="H25" s="35"/>
      <c r="I25" s="724" t="s">
        <v>124</v>
      </c>
      <c r="J25" s="725"/>
    </row>
    <row r="26" spans="2:10" ht="15.75" customHeight="1" thickBot="1">
      <c r="B26" s="40"/>
      <c r="C26" s="41"/>
      <c r="D26" s="41"/>
      <c r="E26" s="41"/>
      <c r="F26" s="41"/>
      <c r="G26" s="41"/>
      <c r="H26" s="41"/>
      <c r="I26" s="726"/>
      <c r="J26" s="727"/>
    </row>
    <row r="27" spans="2:10" ht="15.75" thickTop="1"/>
  </sheetData>
  <mergeCells count="2">
    <mergeCell ref="E5:H5"/>
    <mergeCell ref="I25:J26"/>
  </mergeCells>
  <hyperlinks>
    <hyperlink ref="C9" location="'1.DATOS'!A1" display="1. INTRODUCCIÓN DATOS" xr:uid="{00000000-0004-0000-0000-000000000000}"/>
    <hyperlink ref="C11" location="'1.DATOS'!A2:D3" display="Generales" xr:uid="{00000000-0004-0000-0000-000001000000}"/>
    <hyperlink ref="C13" location="'1.DATOS'!A13:E14" display="Proveedores" xr:uid="{00000000-0004-0000-0000-000002000000}"/>
    <hyperlink ref="C17" location="FCIÓN!A1" display="Financiación" xr:uid="{00000000-0004-0000-0000-000003000000}"/>
    <hyperlink ref="C15" location="'VES-IP.I'!A1" display="Proveedores de inversión" xr:uid="{00000000-0004-0000-0000-000004000000}"/>
    <hyperlink ref="E11" location="'1.VES'!A1" display="VALOR ECONÓMICO SOCIAL DIRECTO" xr:uid="{00000000-0004-0000-0000-000005000000}"/>
    <hyperlink ref="E13" location="'2.VES-IP'!A1" display="VALOR ECONÓMICO SOCIAL INDIRECTO: PROVEEDORES" xr:uid="{00000000-0004-0000-0000-000006000000}"/>
    <hyperlink ref="E15" location="'3.VES-IP.I'!A1" display="VALOR ECONÓMICO SOCIAL INDIRECTO: PROVEEDORES DE INVERSIÓN" xr:uid="{00000000-0004-0000-0000-000007000000}"/>
    <hyperlink ref="G13" location="MVM!A1" display="MATRIZ DE VALOR DE MERCADO" xr:uid="{00000000-0004-0000-0000-000008000000}"/>
    <hyperlink ref="G19" location="V.INTEGRAL!A1" display="VALOR INTEGRAL" xr:uid="{00000000-0004-0000-0000-000009000000}"/>
    <hyperlink ref="C7" location="'0.FICHA'!A1" display="0. CUMPLIMENTAR FICHA" xr:uid="{00000000-0004-0000-0000-00000A000000}"/>
    <hyperlink ref="I13" location="INFORME!A1" display="INFORME TIPO" xr:uid="{00000000-0004-0000-0000-00000B000000}"/>
    <hyperlink ref="C21" location="'6.VASE'!A1" display="Valor Social Específico" xr:uid="{00000000-0004-0000-0000-00000C000000}"/>
    <hyperlink ref="I25:J26" location="'0.FICHA'!A1" display="COMENZAR" xr:uid="{00000000-0004-0000-0000-00000D000000}"/>
    <hyperlink ref="G17" location="MVNM!A1" display="MATRIZ DE VALOR DE NO MERCADO" xr:uid="{00000000-0004-0000-0000-00000E000000}"/>
    <hyperlink ref="I17" location="'0.FICHA'!A62:A97" display="CERTIFICACIÓN" xr:uid="{00000000-0004-0000-0000-00000F000000}"/>
    <hyperlink ref="I21" location="'0.FICHA'!A34:A60" display="GEACCOUNTING" xr:uid="{00000000-0004-0000-0000-000010000000}"/>
    <hyperlink ref="C19" location="FCIÓN!A1" display="Financiación" xr:uid="{00000000-0004-0000-0000-00001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G123"/>
  <sheetViews>
    <sheetView view="pageLayout" workbookViewId="0">
      <selection sqref="A1:C75"/>
    </sheetView>
  </sheetViews>
  <sheetFormatPr baseColWidth="10" defaultColWidth="10.85546875" defaultRowHeight="15"/>
  <cols>
    <col min="1" max="1" width="57.7109375" style="211" customWidth="1"/>
    <col min="2" max="2" width="14.85546875" style="211" bestFit="1" customWidth="1"/>
    <col min="3" max="3" width="14" style="211" customWidth="1"/>
    <col min="4" max="4" width="12.5703125" style="211" bestFit="1" customWidth="1"/>
    <col min="5" max="5" width="10.85546875" style="211"/>
    <col min="6" max="6" width="20.42578125" style="211" customWidth="1"/>
    <col min="7" max="16384" width="10.85546875" style="211"/>
  </cols>
  <sheetData>
    <row r="1" spans="1:4">
      <c r="A1" s="434" t="s">
        <v>250</v>
      </c>
      <c r="B1" s="428"/>
      <c r="C1" s="227"/>
    </row>
    <row r="2" spans="1:4" ht="15.75">
      <c r="A2" s="435" t="s">
        <v>379</v>
      </c>
      <c r="B2" s="433">
        <v>43465</v>
      </c>
      <c r="C2" s="228">
        <v>43100</v>
      </c>
      <c r="D2" s="228"/>
    </row>
    <row r="3" spans="1:4">
      <c r="A3" s="229" t="s">
        <v>252</v>
      </c>
      <c r="B3" s="230"/>
      <c r="C3" s="230"/>
      <c r="D3" s="230"/>
    </row>
    <row r="4" spans="1:4">
      <c r="A4" s="231" t="s">
        <v>253</v>
      </c>
      <c r="B4" s="232">
        <f>B5+B6</f>
        <v>89993733</v>
      </c>
      <c r="C4" s="232">
        <f>C5+C6</f>
        <v>79214745</v>
      </c>
      <c r="D4" s="232"/>
    </row>
    <row r="5" spans="1:4" ht="15.75">
      <c r="A5" s="233" t="s">
        <v>254</v>
      </c>
      <c r="B5" s="234">
        <v>74179988</v>
      </c>
      <c r="C5" s="408">
        <v>63456497</v>
      </c>
      <c r="D5" s="408"/>
    </row>
    <row r="6" spans="1:4" ht="15.75">
      <c r="A6" s="233" t="s">
        <v>579</v>
      </c>
      <c r="B6" s="234">
        <v>15813745</v>
      </c>
      <c r="C6" s="408">
        <v>15758248</v>
      </c>
      <c r="D6" s="408"/>
    </row>
    <row r="7" spans="1:4" ht="15.75">
      <c r="A7" s="231" t="s">
        <v>255</v>
      </c>
      <c r="B7" s="234">
        <v>121070</v>
      </c>
      <c r="C7" s="407">
        <v>104132</v>
      </c>
      <c r="D7" s="407"/>
    </row>
    <row r="8" spans="1:4">
      <c r="A8" s="231" t="s">
        <v>256</v>
      </c>
      <c r="B8" s="235">
        <v>0</v>
      </c>
      <c r="C8" s="235">
        <v>0</v>
      </c>
      <c r="D8" s="235"/>
    </row>
    <row r="9" spans="1:4">
      <c r="A9" s="231" t="s">
        <v>257</v>
      </c>
      <c r="B9" s="232">
        <f>SUM(B10:B13)</f>
        <v>-39104691</v>
      </c>
      <c r="C9" s="232">
        <f>SUM(C10:C13)</f>
        <v>-31545206</v>
      </c>
      <c r="D9" s="232"/>
    </row>
    <row r="10" spans="1:4">
      <c r="A10" s="236" t="s">
        <v>258</v>
      </c>
      <c r="B10" s="235"/>
      <c r="C10" s="235"/>
      <c r="D10" s="235"/>
    </row>
    <row r="11" spans="1:4" ht="15.75">
      <c r="A11" s="236" t="s">
        <v>259</v>
      </c>
      <c r="B11" s="235">
        <v>-37868069</v>
      </c>
      <c r="C11" s="408">
        <v>-30784741</v>
      </c>
      <c r="D11" s="408"/>
    </row>
    <row r="12" spans="1:4" ht="15.75">
      <c r="A12" s="236" t="s">
        <v>260</v>
      </c>
      <c r="B12" s="235">
        <v>-1206624</v>
      </c>
      <c r="C12" s="408">
        <v>-673694</v>
      </c>
      <c r="D12" s="408"/>
    </row>
    <row r="13" spans="1:4" ht="15.75">
      <c r="A13" s="236" t="s">
        <v>261</v>
      </c>
      <c r="B13" s="235">
        <v>-29998</v>
      </c>
      <c r="C13" s="408">
        <v>-86771</v>
      </c>
      <c r="D13" s="408"/>
    </row>
    <row r="14" spans="1:4">
      <c r="A14" s="231" t="s">
        <v>262</v>
      </c>
      <c r="B14" s="232">
        <f>B15+B16</f>
        <v>1218084</v>
      </c>
      <c r="C14" s="232">
        <f>C15+C16</f>
        <v>261293</v>
      </c>
      <c r="D14" s="232"/>
    </row>
    <row r="15" spans="1:4" ht="15.75">
      <c r="A15" s="233" t="s">
        <v>263</v>
      </c>
      <c r="B15" s="235">
        <v>1218084</v>
      </c>
      <c r="C15" s="408">
        <v>261293</v>
      </c>
      <c r="D15" s="408"/>
    </row>
    <row r="16" spans="1:4">
      <c r="A16" s="409" t="s">
        <v>264</v>
      </c>
      <c r="B16" s="235"/>
      <c r="C16" s="235"/>
      <c r="D16" s="235"/>
    </row>
    <row r="17" spans="1:7">
      <c r="A17" s="231" t="s">
        <v>265</v>
      </c>
      <c r="B17" s="232">
        <f>B18+B19+B20</f>
        <v>-40093460</v>
      </c>
      <c r="C17" s="232">
        <f>C18+C19+C20</f>
        <v>-38549813</v>
      </c>
      <c r="D17" s="232"/>
    </row>
    <row r="18" spans="1:7" ht="15.75">
      <c r="A18" s="233" t="s">
        <v>266</v>
      </c>
      <c r="B18" s="235">
        <v>-34971750</v>
      </c>
      <c r="C18" s="408">
        <v>-34269697</v>
      </c>
      <c r="D18" s="408"/>
    </row>
    <row r="19" spans="1:7" ht="15.75">
      <c r="A19" s="537" t="s">
        <v>267</v>
      </c>
      <c r="B19" s="235">
        <v>-5121710</v>
      </c>
      <c r="C19" s="408">
        <v>-4280116</v>
      </c>
      <c r="D19" s="408"/>
      <c r="F19" s="252" t="s">
        <v>4118</v>
      </c>
      <c r="G19" s="252"/>
    </row>
    <row r="20" spans="1:7">
      <c r="A20" s="233" t="s">
        <v>268</v>
      </c>
      <c r="B20" s="235">
        <v>0</v>
      </c>
      <c r="C20" s="235">
        <v>0</v>
      </c>
      <c r="D20" s="235"/>
      <c r="F20" s="252" t="s">
        <v>4119</v>
      </c>
      <c r="G20" s="252"/>
    </row>
    <row r="21" spans="1:7">
      <c r="A21" s="231" t="s">
        <v>269</v>
      </c>
      <c r="B21" s="232">
        <f>B22+B23+B24+B25</f>
        <v>-7987876</v>
      </c>
      <c r="C21" s="232">
        <f>C22+C23+C24+C25</f>
        <v>-5953932</v>
      </c>
      <c r="D21" s="232"/>
    </row>
    <row r="22" spans="1:7" ht="15.75">
      <c r="A22" s="233" t="s">
        <v>270</v>
      </c>
      <c r="B22" s="235">
        <v>-7910555</v>
      </c>
      <c r="C22" s="408">
        <v>-5996672</v>
      </c>
      <c r="D22" s="408"/>
    </row>
    <row r="23" spans="1:7" ht="15.75">
      <c r="A23" s="233" t="s">
        <v>271</v>
      </c>
      <c r="B23" s="235">
        <v>-53532</v>
      </c>
      <c r="C23" s="408">
        <v>-57919</v>
      </c>
      <c r="D23" s="408"/>
    </row>
    <row r="24" spans="1:7" ht="15.75">
      <c r="A24" s="233" t="s">
        <v>272</v>
      </c>
      <c r="B24" s="235">
        <v>-4250</v>
      </c>
      <c r="C24" s="408">
        <v>100659</v>
      </c>
      <c r="D24" s="408"/>
    </row>
    <row r="25" spans="1:7">
      <c r="A25" s="233" t="s">
        <v>273</v>
      </c>
      <c r="B25" s="235">
        <v>-19539</v>
      </c>
      <c r="C25" s="235"/>
      <c r="D25" s="235"/>
    </row>
    <row r="26" spans="1:7">
      <c r="A26" s="231" t="s">
        <v>274</v>
      </c>
      <c r="B26" s="411">
        <f>B27+B28</f>
        <v>-3547512</v>
      </c>
      <c r="C26" s="411">
        <f>C27+C28</f>
        <v>-3544839</v>
      </c>
      <c r="D26" s="411"/>
    </row>
    <row r="27" spans="1:7">
      <c r="A27" s="410" t="s">
        <v>580</v>
      </c>
      <c r="B27" s="235">
        <v>-3168438</v>
      </c>
      <c r="C27" s="235">
        <v>-3165765</v>
      </c>
      <c r="D27" s="235"/>
    </row>
    <row r="28" spans="1:7">
      <c r="A28" s="410" t="s">
        <v>581</v>
      </c>
      <c r="B28" s="235">
        <v>-379074</v>
      </c>
      <c r="C28" s="235">
        <v>-379074</v>
      </c>
      <c r="D28" s="235"/>
    </row>
    <row r="29" spans="1:7">
      <c r="A29" s="231" t="s">
        <v>275</v>
      </c>
      <c r="B29" s="411">
        <f>B30+B31</f>
        <v>1016096</v>
      </c>
      <c r="C29" s="411">
        <f>C30+C31</f>
        <v>1074789</v>
      </c>
      <c r="D29" s="411"/>
    </row>
    <row r="30" spans="1:7">
      <c r="A30" s="410" t="s">
        <v>582</v>
      </c>
      <c r="B30" s="237">
        <v>637022</v>
      </c>
      <c r="C30" s="235">
        <v>695715</v>
      </c>
      <c r="D30" s="235"/>
    </row>
    <row r="31" spans="1:7">
      <c r="A31" s="410" t="s">
        <v>583</v>
      </c>
      <c r="B31" s="237">
        <v>379074</v>
      </c>
      <c r="C31" s="235">
        <v>379074</v>
      </c>
      <c r="D31" s="235"/>
    </row>
    <row r="32" spans="1:7">
      <c r="A32" s="231" t="s">
        <v>276</v>
      </c>
      <c r="B32" s="237"/>
      <c r="C32" s="237"/>
      <c r="D32" s="237"/>
    </row>
    <row r="33" spans="1:4">
      <c r="A33" s="229" t="s">
        <v>277</v>
      </c>
      <c r="B33" s="238">
        <f>B4+B7+B9+B14+B17+B21+B26+B29+B32</f>
        <v>1615444</v>
      </c>
      <c r="C33" s="238">
        <f>C4+C7+C9+C14+C17+C21+C26+C29+C32</f>
        <v>1061169</v>
      </c>
      <c r="D33" s="238"/>
    </row>
    <row r="34" spans="1:4">
      <c r="A34" s="231" t="s">
        <v>278</v>
      </c>
      <c r="B34" s="232">
        <f>B35+B36+B37+B38+B39</f>
        <v>125396</v>
      </c>
      <c r="C34" s="232">
        <f>C35+C36+C37+C38+C39</f>
        <v>-306246</v>
      </c>
      <c r="D34" s="232"/>
    </row>
    <row r="35" spans="1:4">
      <c r="A35" s="239" t="s">
        <v>279</v>
      </c>
      <c r="B35" s="235"/>
      <c r="C35" s="235"/>
      <c r="D35" s="235"/>
    </row>
    <row r="36" spans="1:4">
      <c r="A36" s="239" t="s">
        <v>280</v>
      </c>
      <c r="B36" s="235"/>
      <c r="C36" s="235">
        <v>0</v>
      </c>
      <c r="D36" s="235"/>
    </row>
    <row r="37" spans="1:4">
      <c r="A37" s="239" t="s">
        <v>281</v>
      </c>
      <c r="B37" s="235">
        <v>1220</v>
      </c>
      <c r="C37" s="235">
        <v>-156246</v>
      </c>
      <c r="D37" s="235"/>
    </row>
    <row r="38" spans="1:4">
      <c r="A38" s="239" t="s">
        <v>282</v>
      </c>
      <c r="B38" s="235">
        <v>124176</v>
      </c>
      <c r="C38" s="235">
        <v>-150000</v>
      </c>
      <c r="D38" s="235"/>
    </row>
    <row r="39" spans="1:4">
      <c r="A39" s="239" t="s">
        <v>283</v>
      </c>
      <c r="B39" s="235"/>
      <c r="C39" s="235">
        <v>0</v>
      </c>
      <c r="D39" s="235"/>
    </row>
    <row r="40" spans="1:4">
      <c r="A40" s="240" t="s">
        <v>284</v>
      </c>
      <c r="B40" s="241">
        <f>B33+B34</f>
        <v>1740840</v>
      </c>
      <c r="C40" s="241">
        <f>C33+C34</f>
        <v>754923</v>
      </c>
      <c r="D40" s="241"/>
    </row>
    <row r="41" spans="1:4">
      <c r="A41" s="231" t="s">
        <v>285</v>
      </c>
      <c r="B41" s="232">
        <f>B43+B44+B46+B47+B48</f>
        <v>82707</v>
      </c>
      <c r="C41" s="232">
        <f>C43+C44+C46+C47+C48</f>
        <v>71074</v>
      </c>
      <c r="D41" s="232"/>
    </row>
    <row r="42" spans="1:4">
      <c r="A42" s="233" t="s">
        <v>286</v>
      </c>
      <c r="B42" s="242">
        <v>0</v>
      </c>
      <c r="C42" s="242">
        <v>0</v>
      </c>
      <c r="D42" s="242"/>
    </row>
    <row r="43" spans="1:4">
      <c r="A43" s="233" t="s">
        <v>287</v>
      </c>
      <c r="B43" s="234">
        <v>0</v>
      </c>
      <c r="C43" s="234">
        <v>0</v>
      </c>
      <c r="D43" s="234"/>
    </row>
    <row r="44" spans="1:4">
      <c r="A44" s="233" t="s">
        <v>288</v>
      </c>
      <c r="B44" s="234">
        <v>0</v>
      </c>
      <c r="C44" s="234">
        <v>0</v>
      </c>
      <c r="D44" s="234"/>
    </row>
    <row r="45" spans="1:4">
      <c r="A45" s="233" t="s">
        <v>289</v>
      </c>
      <c r="B45" s="242">
        <v>0</v>
      </c>
      <c r="C45" s="242">
        <v>0</v>
      </c>
      <c r="D45" s="242"/>
    </row>
    <row r="46" spans="1:4">
      <c r="A46" s="233" t="s">
        <v>290</v>
      </c>
      <c r="B46" s="234"/>
      <c r="C46" s="234"/>
      <c r="D46" s="234"/>
    </row>
    <row r="47" spans="1:4">
      <c r="A47" s="233" t="s">
        <v>291</v>
      </c>
      <c r="B47" s="234">
        <v>82707</v>
      </c>
      <c r="C47" s="234">
        <v>71074</v>
      </c>
      <c r="D47" s="234"/>
    </row>
    <row r="48" spans="1:4">
      <c r="A48" s="233" t="s">
        <v>292</v>
      </c>
      <c r="B48" s="234"/>
      <c r="C48" s="234"/>
      <c r="D48" s="234"/>
    </row>
    <row r="49" spans="1:4">
      <c r="A49" s="231" t="s">
        <v>293</v>
      </c>
      <c r="B49" s="232">
        <f>B50+B51+B52</f>
        <v>-246786</v>
      </c>
      <c r="C49" s="232">
        <f>C50+C51+C52</f>
        <v>-168210</v>
      </c>
      <c r="D49" s="232"/>
    </row>
    <row r="50" spans="1:4">
      <c r="A50" s="233" t="s">
        <v>294</v>
      </c>
      <c r="B50" s="234"/>
      <c r="C50" s="234"/>
      <c r="D50" s="234"/>
    </row>
    <row r="51" spans="1:4">
      <c r="A51" s="233" t="s">
        <v>295</v>
      </c>
      <c r="B51" s="234">
        <v>-246786</v>
      </c>
      <c r="C51" s="234">
        <v>-168210</v>
      </c>
      <c r="D51" s="234"/>
    </row>
    <row r="52" spans="1:4">
      <c r="A52" s="236" t="s">
        <v>296</v>
      </c>
      <c r="B52" s="234"/>
      <c r="C52" s="234">
        <v>0</v>
      </c>
      <c r="D52" s="234"/>
    </row>
    <row r="53" spans="1:4">
      <c r="A53" s="231" t="s">
        <v>297</v>
      </c>
      <c r="B53" s="232">
        <f>B54+B55</f>
        <v>0</v>
      </c>
      <c r="C53" s="232">
        <f>C54+C55</f>
        <v>0</v>
      </c>
      <c r="D53" s="232"/>
    </row>
    <row r="54" spans="1:4">
      <c r="A54" s="233" t="s">
        <v>298</v>
      </c>
      <c r="B54" s="234">
        <v>0</v>
      </c>
      <c r="C54" s="234">
        <v>0</v>
      </c>
      <c r="D54" s="234"/>
    </row>
    <row r="55" spans="1:4">
      <c r="A55" s="233" t="s">
        <v>299</v>
      </c>
      <c r="B55" s="234">
        <v>0</v>
      </c>
      <c r="C55" s="234">
        <v>0</v>
      </c>
      <c r="D55" s="234"/>
    </row>
    <row r="56" spans="1:4">
      <c r="A56" s="231" t="s">
        <v>300</v>
      </c>
      <c r="B56" s="232">
        <f>B57+B58</f>
        <v>0</v>
      </c>
      <c r="C56" s="232">
        <f>C57+C58</f>
        <v>0</v>
      </c>
      <c r="D56" s="232"/>
    </row>
    <row r="57" spans="1:4">
      <c r="A57" s="243" t="s">
        <v>301</v>
      </c>
      <c r="B57" s="235">
        <v>0</v>
      </c>
      <c r="C57" s="235">
        <v>0</v>
      </c>
      <c r="D57" s="235"/>
    </row>
    <row r="58" spans="1:4">
      <c r="A58" s="243" t="s">
        <v>302</v>
      </c>
      <c r="B58" s="235"/>
      <c r="C58" s="235"/>
      <c r="D58" s="235"/>
    </row>
    <row r="59" spans="1:4">
      <c r="A59" s="231" t="s">
        <v>303</v>
      </c>
      <c r="B59" s="232">
        <f>B60+B61+B62</f>
        <v>29815</v>
      </c>
      <c r="C59" s="232">
        <f>C60+C61+C62</f>
        <v>0</v>
      </c>
      <c r="D59" s="232"/>
    </row>
    <row r="60" spans="1:4">
      <c r="A60" s="233" t="s">
        <v>304</v>
      </c>
      <c r="B60" s="235">
        <v>29815</v>
      </c>
      <c r="C60" s="235"/>
      <c r="D60" s="235"/>
    </row>
    <row r="61" spans="1:4">
      <c r="A61" s="233" t="s">
        <v>305</v>
      </c>
      <c r="B61" s="235">
        <v>0</v>
      </c>
      <c r="C61" s="235">
        <v>0</v>
      </c>
      <c r="D61" s="235"/>
    </row>
    <row r="62" spans="1:4">
      <c r="A62" s="233" t="s">
        <v>306</v>
      </c>
      <c r="B62" s="234">
        <v>0</v>
      </c>
      <c r="C62" s="234">
        <v>0</v>
      </c>
      <c r="D62" s="234"/>
    </row>
    <row r="63" spans="1:4">
      <c r="A63" s="229" t="s">
        <v>307</v>
      </c>
      <c r="B63" s="238">
        <f>B41+B49+B53+B56+B59</f>
        <v>-134264</v>
      </c>
      <c r="C63" s="238">
        <f>C41+C49+C53+C56+C59</f>
        <v>-97136</v>
      </c>
      <c r="D63" s="238"/>
    </row>
    <row r="64" spans="1:4">
      <c r="A64" s="229" t="s">
        <v>308</v>
      </c>
      <c r="B64" s="238">
        <f>B40+B63</f>
        <v>1606576</v>
      </c>
      <c r="C64" s="238">
        <f>C40+C63</f>
        <v>657787</v>
      </c>
      <c r="D64" s="238"/>
    </row>
    <row r="65" spans="1:4">
      <c r="A65" s="244" t="s">
        <v>309</v>
      </c>
      <c r="B65" s="235"/>
      <c r="C65" s="235"/>
      <c r="D65" s="235"/>
    </row>
    <row r="66" spans="1:4">
      <c r="A66" s="229" t="s">
        <v>310</v>
      </c>
      <c r="B66" s="238">
        <f>B64+B65</f>
        <v>1606576</v>
      </c>
      <c r="C66" s="238">
        <f>C64+C65</f>
        <v>657787</v>
      </c>
      <c r="D66" s="238"/>
    </row>
    <row r="67" spans="1:4">
      <c r="A67" s="245"/>
      <c r="B67" s="246"/>
      <c r="C67" s="246"/>
      <c r="D67" s="246"/>
    </row>
    <row r="68" spans="1:4">
      <c r="A68" s="229" t="s">
        <v>311</v>
      </c>
      <c r="B68" s="230">
        <f>B69</f>
        <v>0</v>
      </c>
      <c r="C68" s="230">
        <f>C69</f>
        <v>0</v>
      </c>
      <c r="D68" s="230"/>
    </row>
    <row r="69" spans="1:4">
      <c r="A69" s="243" t="s">
        <v>312</v>
      </c>
      <c r="B69" s="235">
        <v>0</v>
      </c>
      <c r="C69" s="235">
        <v>0</v>
      </c>
      <c r="D69" s="235"/>
    </row>
    <row r="70" spans="1:4">
      <c r="A70" s="229" t="s">
        <v>313</v>
      </c>
      <c r="B70" s="238">
        <f>B66+B68</f>
        <v>1606576</v>
      </c>
      <c r="C70" s="238">
        <f>C66+C68</f>
        <v>657787</v>
      </c>
      <c r="D70" s="238"/>
    </row>
    <row r="72" spans="1:4">
      <c r="A72" s="247" t="s">
        <v>314</v>
      </c>
      <c r="B72" s="248">
        <v>43100</v>
      </c>
      <c r="C72" s="248">
        <v>43465</v>
      </c>
    </row>
    <row r="73" spans="1:4">
      <c r="A73" s="249" t="s">
        <v>317</v>
      </c>
      <c r="B73" s="250"/>
      <c r="C73" s="250"/>
    </row>
    <row r="74" spans="1:4">
      <c r="A74" s="251" t="s">
        <v>318</v>
      </c>
      <c r="B74" s="235">
        <f>B70</f>
        <v>1606576</v>
      </c>
      <c r="C74" s="235"/>
    </row>
    <row r="75" spans="1:4">
      <c r="A75" s="251" t="s">
        <v>319</v>
      </c>
      <c r="B75" s="235">
        <v>0</v>
      </c>
      <c r="C75" s="235">
        <v>0</v>
      </c>
    </row>
    <row r="77" spans="1:4">
      <c r="A77" s="247" t="s">
        <v>320</v>
      </c>
      <c r="B77" s="252"/>
      <c r="C77" s="252"/>
    </row>
    <row r="78" spans="1:4">
      <c r="A78" s="253" t="s">
        <v>321</v>
      </c>
      <c r="B78" s="248" t="s">
        <v>315</v>
      </c>
      <c r="C78" s="248" t="s">
        <v>316</v>
      </c>
    </row>
    <row r="79" spans="1:4">
      <c r="A79" s="229" t="s">
        <v>311</v>
      </c>
      <c r="B79" s="230"/>
      <c r="C79" s="230"/>
    </row>
    <row r="80" spans="1:4">
      <c r="A80" s="231" t="s">
        <v>253</v>
      </c>
      <c r="B80" s="254">
        <v>0</v>
      </c>
      <c r="C80" s="254">
        <v>0</v>
      </c>
    </row>
    <row r="81" spans="1:3">
      <c r="A81" s="231" t="s">
        <v>255</v>
      </c>
      <c r="B81" s="234">
        <v>0</v>
      </c>
      <c r="C81" s="234">
        <v>0</v>
      </c>
    </row>
    <row r="82" spans="1:3">
      <c r="A82" s="231" t="s">
        <v>256</v>
      </c>
      <c r="B82" s="235">
        <v>0</v>
      </c>
      <c r="C82" s="235"/>
    </row>
    <row r="83" spans="1:3">
      <c r="A83" s="231" t="s">
        <v>257</v>
      </c>
      <c r="B83" s="232">
        <f>SUM(B84:B87)</f>
        <v>0</v>
      </c>
      <c r="C83" s="232">
        <f>SUM(C84:C87)</f>
        <v>0</v>
      </c>
    </row>
    <row r="84" spans="1:3">
      <c r="A84" s="236" t="s">
        <v>258</v>
      </c>
      <c r="B84" s="235">
        <v>0</v>
      </c>
      <c r="C84" s="235">
        <v>0</v>
      </c>
    </row>
    <row r="85" spans="1:3">
      <c r="A85" s="236" t="s">
        <v>259</v>
      </c>
      <c r="B85" s="235">
        <v>0</v>
      </c>
      <c r="C85" s="235">
        <v>0</v>
      </c>
    </row>
    <row r="86" spans="1:3">
      <c r="A86" s="236" t="s">
        <v>260</v>
      </c>
      <c r="B86" s="235">
        <v>0</v>
      </c>
      <c r="C86" s="235">
        <v>0</v>
      </c>
    </row>
    <row r="87" spans="1:3">
      <c r="A87" s="236" t="s">
        <v>261</v>
      </c>
      <c r="B87" s="235">
        <v>0</v>
      </c>
      <c r="C87" s="235">
        <v>0</v>
      </c>
    </row>
    <row r="88" spans="1:3">
      <c r="A88" s="231" t="s">
        <v>262</v>
      </c>
      <c r="B88" s="232">
        <v>0</v>
      </c>
      <c r="C88" s="232">
        <f>C89+C90</f>
        <v>0</v>
      </c>
    </row>
    <row r="89" spans="1:3">
      <c r="A89" s="233" t="s">
        <v>263</v>
      </c>
      <c r="B89" s="235">
        <v>0</v>
      </c>
      <c r="C89" s="235">
        <v>0</v>
      </c>
    </row>
    <row r="90" spans="1:3">
      <c r="A90" s="233" t="s">
        <v>264</v>
      </c>
      <c r="B90" s="235">
        <v>0</v>
      </c>
      <c r="C90" s="235">
        <v>0</v>
      </c>
    </row>
    <row r="91" spans="1:3">
      <c r="A91" s="231" t="s">
        <v>265</v>
      </c>
      <c r="B91" s="232">
        <f>B92+B93+B94</f>
        <v>0</v>
      </c>
      <c r="C91" s="232">
        <f>C92+C93+C94</f>
        <v>0</v>
      </c>
    </row>
    <row r="92" spans="1:3">
      <c r="A92" s="233" t="s">
        <v>322</v>
      </c>
      <c r="B92" s="235">
        <v>0</v>
      </c>
      <c r="C92" s="235">
        <v>0</v>
      </c>
    </row>
    <row r="93" spans="1:3">
      <c r="A93" s="233" t="s">
        <v>267</v>
      </c>
      <c r="B93" s="235">
        <v>0</v>
      </c>
      <c r="C93" s="235">
        <v>0</v>
      </c>
    </row>
    <row r="94" spans="1:3">
      <c r="A94" s="233" t="s">
        <v>268</v>
      </c>
      <c r="B94" s="235">
        <v>0</v>
      </c>
      <c r="C94" s="235">
        <v>0</v>
      </c>
    </row>
    <row r="95" spans="1:3">
      <c r="A95" s="231" t="s">
        <v>269</v>
      </c>
      <c r="B95" s="232">
        <f>B96+B97+B98+B99</f>
        <v>0</v>
      </c>
      <c r="C95" s="232">
        <f>C96+C97+C98+C99</f>
        <v>0</v>
      </c>
    </row>
    <row r="96" spans="1:3">
      <c r="A96" s="233" t="s">
        <v>270</v>
      </c>
      <c r="B96" s="235">
        <v>0</v>
      </c>
      <c r="C96" s="235">
        <v>0</v>
      </c>
    </row>
    <row r="97" spans="1:3">
      <c r="A97" s="233" t="s">
        <v>271</v>
      </c>
      <c r="B97" s="235">
        <v>0</v>
      </c>
      <c r="C97" s="235">
        <v>0</v>
      </c>
    </row>
    <row r="98" spans="1:3">
      <c r="A98" s="233" t="s">
        <v>272</v>
      </c>
      <c r="B98" s="235">
        <v>0</v>
      </c>
      <c r="C98" s="235">
        <v>0</v>
      </c>
    </row>
    <row r="99" spans="1:3">
      <c r="A99" s="233" t="s">
        <v>273</v>
      </c>
      <c r="B99" s="235">
        <v>0</v>
      </c>
      <c r="C99" s="235">
        <v>0</v>
      </c>
    </row>
    <row r="100" spans="1:3">
      <c r="A100" s="231" t="s">
        <v>274</v>
      </c>
      <c r="B100" s="235">
        <v>0</v>
      </c>
      <c r="C100" s="235">
        <v>0</v>
      </c>
    </row>
    <row r="101" spans="1:3">
      <c r="A101" s="231" t="s">
        <v>275</v>
      </c>
      <c r="B101" s="235">
        <v>0</v>
      </c>
      <c r="C101" s="235">
        <v>0</v>
      </c>
    </row>
    <row r="102" spans="1:3">
      <c r="A102" s="231" t="s">
        <v>276</v>
      </c>
      <c r="B102" s="237">
        <v>0</v>
      </c>
      <c r="C102" s="237">
        <v>0</v>
      </c>
    </row>
    <row r="103" spans="1:3">
      <c r="A103" s="231" t="s">
        <v>278</v>
      </c>
      <c r="B103" s="232">
        <f>B104+B105+B106+B107+B108</f>
        <v>0</v>
      </c>
      <c r="C103" s="232">
        <f>C104+C105+C106+C107+C108</f>
        <v>0</v>
      </c>
    </row>
    <row r="104" spans="1:3">
      <c r="A104" s="239" t="s">
        <v>279</v>
      </c>
      <c r="B104" s="235">
        <v>0</v>
      </c>
      <c r="C104" s="235">
        <v>0</v>
      </c>
    </row>
    <row r="105" spans="1:3">
      <c r="A105" s="239" t="s">
        <v>280</v>
      </c>
      <c r="B105" s="235">
        <v>0</v>
      </c>
      <c r="C105" s="235">
        <v>0</v>
      </c>
    </row>
    <row r="106" spans="1:3">
      <c r="A106" s="239" t="s">
        <v>281</v>
      </c>
      <c r="B106" s="235">
        <v>0</v>
      </c>
      <c r="C106" s="235">
        <v>0</v>
      </c>
    </row>
    <row r="107" spans="1:3">
      <c r="A107" s="239" t="s">
        <v>282</v>
      </c>
      <c r="B107" s="235">
        <v>0</v>
      </c>
      <c r="C107" s="235">
        <v>0</v>
      </c>
    </row>
    <row r="108" spans="1:3">
      <c r="A108" s="239" t="s">
        <v>283</v>
      </c>
      <c r="B108" s="235">
        <v>0</v>
      </c>
      <c r="C108" s="235">
        <v>0</v>
      </c>
    </row>
    <row r="109" spans="1:3">
      <c r="A109" s="240" t="s">
        <v>323</v>
      </c>
      <c r="B109" s="241">
        <f>B80+B81+B82+B83+B88+B91+B95+B100+B101+B102+B103</f>
        <v>0</v>
      </c>
      <c r="C109" s="241">
        <f>C80+C81+C82+C83+C88+C91+C95+C100+C101+C102+C103</f>
        <v>0</v>
      </c>
    </row>
    <row r="110" spans="1:3">
      <c r="A110" s="231" t="s">
        <v>285</v>
      </c>
      <c r="B110" s="254">
        <v>0</v>
      </c>
      <c r="C110" s="254">
        <v>0</v>
      </c>
    </row>
    <row r="111" spans="1:3">
      <c r="A111" s="231" t="s">
        <v>293</v>
      </c>
      <c r="B111" s="254">
        <v>0</v>
      </c>
      <c r="C111" s="254">
        <v>0</v>
      </c>
    </row>
    <row r="112" spans="1:3">
      <c r="A112" s="231" t="s">
        <v>297</v>
      </c>
      <c r="B112" s="254">
        <v>0</v>
      </c>
      <c r="C112" s="254">
        <v>0</v>
      </c>
    </row>
    <row r="113" spans="1:3">
      <c r="A113" s="231" t="s">
        <v>300</v>
      </c>
      <c r="B113" s="254">
        <v>0</v>
      </c>
      <c r="C113" s="254">
        <v>0</v>
      </c>
    </row>
    <row r="114" spans="1:3">
      <c r="A114" s="231" t="s">
        <v>303</v>
      </c>
      <c r="B114" s="255">
        <f>B115+B116+B117</f>
        <v>0</v>
      </c>
      <c r="C114" s="255">
        <f>C115+C116+C117</f>
        <v>0</v>
      </c>
    </row>
    <row r="115" spans="1:3">
      <c r="A115" s="233" t="s">
        <v>304</v>
      </c>
      <c r="B115" s="235">
        <v>0</v>
      </c>
      <c r="C115" s="235">
        <v>0</v>
      </c>
    </row>
    <row r="116" spans="1:3">
      <c r="A116" s="233" t="s">
        <v>305</v>
      </c>
      <c r="B116" s="235">
        <v>0</v>
      </c>
      <c r="C116" s="235">
        <v>0</v>
      </c>
    </row>
    <row r="117" spans="1:3">
      <c r="A117" s="233" t="s">
        <v>306</v>
      </c>
      <c r="B117" s="234">
        <v>0</v>
      </c>
      <c r="C117" s="234">
        <v>0</v>
      </c>
    </row>
    <row r="118" spans="1:3">
      <c r="A118" s="229" t="s">
        <v>324</v>
      </c>
      <c r="B118" s="238">
        <f>B110+B111+B112+B113+B114</f>
        <v>0</v>
      </c>
      <c r="C118" s="238">
        <f>C110+C111+C112+C113+C114</f>
        <v>0</v>
      </c>
    </row>
    <row r="119" spans="1:3">
      <c r="A119" s="229" t="s">
        <v>325</v>
      </c>
      <c r="B119" s="238">
        <f>B109+B118</f>
        <v>0</v>
      </c>
      <c r="C119" s="238">
        <f>C109+C118</f>
        <v>0</v>
      </c>
    </row>
    <row r="120" spans="1:3">
      <c r="A120" s="244" t="s">
        <v>309</v>
      </c>
      <c r="B120" s="235">
        <v>0</v>
      </c>
      <c r="C120" s="235">
        <v>0</v>
      </c>
    </row>
    <row r="121" spans="1:3">
      <c r="A121" s="229" t="s">
        <v>326</v>
      </c>
      <c r="B121" s="238">
        <f>B119+B120</f>
        <v>0</v>
      </c>
      <c r="C121" s="238">
        <f>C119+C120</f>
        <v>0</v>
      </c>
    </row>
    <row r="123" spans="1:3">
      <c r="A123" s="256" t="s">
        <v>327</v>
      </c>
      <c r="B123" s="257">
        <f>B121-B69</f>
        <v>0</v>
      </c>
      <c r="C123" s="257">
        <f>C121-C69</f>
        <v>0</v>
      </c>
    </row>
  </sheetData>
  <pageMargins left="0.7" right="0.7" top="0.75" bottom="0.75" header="0.3" footer="0.3"/>
  <pageSetup paperSize="9" scale="73" orientation="portrait" r:id="rId1"/>
  <headerFooter>
    <oddHeader>&amp;CENTRADA DE DATOS 
ESTADO DE RESULTADOS</oddHeader>
  </headerFooter>
  <rowBreaks count="1" manualBreakCount="1">
    <brk id="7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L91"/>
  <sheetViews>
    <sheetView topLeftCell="A70" zoomScale="70" zoomScaleNormal="70" workbookViewId="0">
      <selection activeCell="F1" sqref="F1"/>
    </sheetView>
  </sheetViews>
  <sheetFormatPr baseColWidth="10" defaultColWidth="11.42578125" defaultRowHeight="15"/>
  <cols>
    <col min="1" max="1" width="42.5703125" style="211" customWidth="1"/>
    <col min="2" max="2" width="40.28515625" style="376" customWidth="1"/>
    <col min="3" max="3" width="29.5703125" style="211" customWidth="1"/>
    <col min="4" max="4" width="28.5703125" style="211" customWidth="1"/>
    <col min="5" max="5" width="13.5703125" style="211" customWidth="1"/>
    <col min="6" max="6" width="24.7109375" style="211" customWidth="1"/>
    <col min="7" max="7" width="20.28515625" style="211" customWidth="1"/>
    <col min="8" max="10" width="11.42578125" style="211"/>
    <col min="11" max="11" width="26" style="211" customWidth="1"/>
    <col min="12" max="12" width="21.85546875" style="211" customWidth="1"/>
    <col min="13" max="16384" width="11.42578125" style="211"/>
  </cols>
  <sheetData>
    <row r="1" spans="1:5" ht="30" customHeight="1">
      <c r="A1" s="296" t="s">
        <v>380</v>
      </c>
      <c r="B1" s="297"/>
      <c r="C1" s="297"/>
      <c r="D1" s="298"/>
    </row>
    <row r="2" spans="1:5" ht="30" customHeight="1">
      <c r="A2" s="304" t="s">
        <v>1</v>
      </c>
      <c r="B2" s="305" t="s">
        <v>381</v>
      </c>
      <c r="C2" s="304" t="s">
        <v>382</v>
      </c>
      <c r="D2" s="304" t="s">
        <v>383</v>
      </c>
    </row>
    <row r="3" spans="1:5" ht="30" customHeight="1">
      <c r="A3" s="306" t="s">
        <v>3376</v>
      </c>
      <c r="B3" s="307" t="s">
        <v>3384</v>
      </c>
      <c r="C3" s="308" t="s">
        <v>8</v>
      </c>
      <c r="D3" s="528">
        <v>5375066.6600000001</v>
      </c>
    </row>
    <row r="4" spans="1:5" ht="30" customHeight="1">
      <c r="A4" s="306" t="s">
        <v>4115</v>
      </c>
      <c r="B4" s="307" t="s">
        <v>3400</v>
      </c>
      <c r="C4" s="308"/>
      <c r="D4" s="528">
        <v>6768308</v>
      </c>
      <c r="E4" s="211" t="s">
        <v>4117</v>
      </c>
    </row>
    <row r="5" spans="1:5" ht="30" customHeight="1">
      <c r="A5" s="306" t="s">
        <v>4110</v>
      </c>
      <c r="B5" s="307"/>
      <c r="C5" s="308"/>
      <c r="D5" s="528">
        <v>1924044</v>
      </c>
    </row>
    <row r="6" spans="1:5" ht="30" customHeight="1">
      <c r="A6" s="306" t="s">
        <v>11</v>
      </c>
      <c r="B6" s="307" t="s">
        <v>384</v>
      </c>
      <c r="C6" s="308" t="s">
        <v>4</v>
      </c>
      <c r="D6" s="528">
        <v>6341166</v>
      </c>
    </row>
    <row r="7" spans="1:5" ht="30" customHeight="1">
      <c r="A7" s="299" t="s">
        <v>3398</v>
      </c>
      <c r="B7" s="370"/>
      <c r="C7" s="371"/>
    </row>
    <row r="8" spans="1:5" ht="30" customHeight="1">
      <c r="A8" s="319" t="s">
        <v>1</v>
      </c>
      <c r="B8" s="320" t="s">
        <v>2</v>
      </c>
      <c r="C8" s="319" t="s">
        <v>432</v>
      </c>
    </row>
    <row r="9" spans="1:5" ht="30" customHeight="1">
      <c r="A9" s="313" t="s">
        <v>3403</v>
      </c>
      <c r="B9" s="315" t="s">
        <v>497</v>
      </c>
      <c r="C9" s="332"/>
    </row>
    <row r="10" spans="1:5" ht="30" customHeight="1">
      <c r="A10" s="313" t="s">
        <v>3404</v>
      </c>
      <c r="B10" s="315" t="s">
        <v>498</v>
      </c>
      <c r="C10" s="332">
        <v>14095223</v>
      </c>
      <c r="D10" s="211" t="s">
        <v>499</v>
      </c>
    </row>
    <row r="11" spans="1:5" ht="30" customHeight="1">
      <c r="A11" s="313" t="s">
        <v>4111</v>
      </c>
      <c r="B11" s="315" t="s">
        <v>500</v>
      </c>
      <c r="C11" s="332">
        <f>1615985-C91</f>
        <v>1198435</v>
      </c>
    </row>
    <row r="12" spans="1:5" ht="30" customHeight="1">
      <c r="A12" s="313" t="s">
        <v>4112</v>
      </c>
      <c r="B12" s="315" t="s">
        <v>501</v>
      </c>
      <c r="C12" s="332">
        <v>417550</v>
      </c>
    </row>
    <row r="13" spans="1:5" ht="30" customHeight="1">
      <c r="A13" s="313" t="s">
        <v>4113</v>
      </c>
      <c r="B13" s="315"/>
      <c r="C13" s="332"/>
      <c r="D13" s="532"/>
    </row>
    <row r="14" spans="1:5" ht="30" customHeight="1">
      <c r="A14" s="299" t="s">
        <v>3416</v>
      </c>
      <c r="B14" s="300" t="s">
        <v>3396</v>
      </c>
      <c r="C14" s="301"/>
      <c r="D14" s="302"/>
      <c r="E14" s="303"/>
    </row>
    <row r="15" spans="1:5" ht="30" customHeight="1">
      <c r="A15" s="304" t="s">
        <v>1</v>
      </c>
      <c r="B15" s="305" t="s">
        <v>381</v>
      </c>
      <c r="C15" s="304" t="s">
        <v>382</v>
      </c>
      <c r="D15" s="304" t="s">
        <v>383</v>
      </c>
    </row>
    <row r="16" spans="1:5" ht="30" customHeight="1">
      <c r="A16" s="306" t="s">
        <v>3417</v>
      </c>
      <c r="B16" s="307" t="s">
        <v>3400</v>
      </c>
      <c r="C16" s="308"/>
      <c r="D16" s="528">
        <v>43754430</v>
      </c>
    </row>
    <row r="17" spans="1:10" ht="30" customHeight="1">
      <c r="A17" s="306" t="s">
        <v>3418</v>
      </c>
      <c r="B17" s="307"/>
      <c r="C17" s="308"/>
      <c r="D17" s="528">
        <v>57768563.869999997</v>
      </c>
    </row>
    <row r="18" spans="1:10" ht="30" customHeight="1">
      <c r="A18" s="306" t="s">
        <v>3419</v>
      </c>
      <c r="B18" s="307" t="s">
        <v>384</v>
      </c>
      <c r="C18" s="308" t="s">
        <v>4</v>
      </c>
      <c r="D18" s="529">
        <v>79894421.870000005</v>
      </c>
    </row>
    <row r="19" spans="1:10" ht="30" customHeight="1">
      <c r="A19" s="299" t="s">
        <v>389</v>
      </c>
      <c r="B19" s="309"/>
      <c r="C19" s="310"/>
      <c r="D19" s="311"/>
    </row>
    <row r="20" spans="1:10" ht="30" customHeight="1">
      <c r="A20" s="304" t="s">
        <v>1</v>
      </c>
      <c r="B20" s="305" t="s">
        <v>381</v>
      </c>
      <c r="C20" s="304" t="s">
        <v>382</v>
      </c>
      <c r="D20" s="304" t="s">
        <v>383</v>
      </c>
      <c r="H20" s="3"/>
      <c r="I20" s="3"/>
      <c r="J20" s="3"/>
    </row>
    <row r="21" spans="1:10" ht="30" customHeight="1">
      <c r="A21" s="444" t="s">
        <v>4108</v>
      </c>
      <c r="B21" s="307"/>
      <c r="C21" s="308"/>
      <c r="D21" s="446">
        <v>39500</v>
      </c>
      <c r="F21" s="3"/>
    </row>
    <row r="22" spans="1:10" ht="30" customHeight="1">
      <c r="A22" s="306" t="s">
        <v>4109</v>
      </c>
      <c r="B22" s="307" t="s">
        <v>390</v>
      </c>
      <c r="C22" s="308" t="s">
        <v>391</v>
      </c>
      <c r="D22" s="446">
        <v>1800</v>
      </c>
      <c r="E22" s="13"/>
      <c r="F22" s="3"/>
      <c r="G22" s="3"/>
      <c r="H22" s="312"/>
      <c r="I22" s="3"/>
      <c r="J22" s="3"/>
    </row>
    <row r="23" spans="1:10" ht="30" customHeight="1">
      <c r="A23" s="306" t="s">
        <v>3399</v>
      </c>
      <c r="B23" s="307"/>
      <c r="C23" s="308"/>
      <c r="D23" s="531">
        <v>21.94</v>
      </c>
      <c r="E23" s="13"/>
      <c r="F23" s="3"/>
      <c r="G23" s="3"/>
      <c r="H23" s="312"/>
      <c r="I23" s="3"/>
      <c r="J23" s="3"/>
    </row>
    <row r="24" spans="1:10" ht="30" customHeight="1">
      <c r="A24" s="306" t="s">
        <v>4107</v>
      </c>
      <c r="B24" s="307" t="s">
        <v>394</v>
      </c>
      <c r="C24" s="308" t="s">
        <v>8</v>
      </c>
      <c r="D24" s="446">
        <v>3199000</v>
      </c>
      <c r="E24" s="149"/>
      <c r="F24" s="3"/>
    </row>
    <row r="25" spans="1:10" ht="30" customHeight="1">
      <c r="A25" s="299" t="s">
        <v>396</v>
      </c>
      <c r="B25" s="309"/>
      <c r="C25" s="310"/>
      <c r="D25" s="311"/>
    </row>
    <row r="26" spans="1:10" ht="30" customHeight="1">
      <c r="A26" s="304" t="s">
        <v>1</v>
      </c>
      <c r="B26" s="305" t="s">
        <v>381</v>
      </c>
      <c r="C26" s="304" t="s">
        <v>382</v>
      </c>
      <c r="D26" s="304" t="s">
        <v>383</v>
      </c>
      <c r="E26" s="314" t="s">
        <v>3397</v>
      </c>
    </row>
    <row r="27" spans="1:10" ht="30" customHeight="1">
      <c r="A27" s="313" t="s">
        <v>397</v>
      </c>
      <c r="B27" s="315" t="s">
        <v>398</v>
      </c>
      <c r="C27" s="308"/>
      <c r="D27" s="511">
        <v>209</v>
      </c>
      <c r="E27" s="316">
        <v>4628</v>
      </c>
      <c r="G27" s="303"/>
    </row>
    <row r="28" spans="1:10" ht="30" customHeight="1">
      <c r="A28" s="313" t="s">
        <v>399</v>
      </c>
      <c r="B28" s="307" t="s">
        <v>400</v>
      </c>
      <c r="C28" s="308"/>
      <c r="D28" s="511">
        <f>+D35+D36+D37</f>
        <v>877</v>
      </c>
      <c r="E28" s="316">
        <v>4929.54</v>
      </c>
      <c r="F28" s="13"/>
      <c r="G28" s="303"/>
    </row>
    <row r="29" spans="1:10" ht="30" customHeight="1">
      <c r="A29" s="313" t="s">
        <v>401</v>
      </c>
      <c r="B29" s="307"/>
      <c r="C29" s="308"/>
      <c r="D29" s="511">
        <f>+D27</f>
        <v>209</v>
      </c>
      <c r="E29" s="316">
        <v>1375</v>
      </c>
      <c r="F29" s="13" t="s">
        <v>402</v>
      </c>
      <c r="G29" s="303"/>
    </row>
    <row r="30" spans="1:10" ht="30" customHeight="1">
      <c r="A30" s="313" t="s">
        <v>403</v>
      </c>
      <c r="B30" s="307" t="s">
        <v>404</v>
      </c>
      <c r="C30" s="308" t="s">
        <v>405</v>
      </c>
      <c r="D30" s="511">
        <v>26</v>
      </c>
      <c r="E30" s="316">
        <v>5100</v>
      </c>
      <c r="F30" s="211" t="s">
        <v>4103</v>
      </c>
      <c r="G30" s="303"/>
    </row>
    <row r="31" spans="1:10" ht="30" customHeight="1">
      <c r="A31" s="313" t="s">
        <v>406</v>
      </c>
      <c r="B31" s="307" t="s">
        <v>407</v>
      </c>
      <c r="C31" s="308" t="s">
        <v>408</v>
      </c>
      <c r="D31" s="511">
        <v>0</v>
      </c>
      <c r="E31" s="316">
        <v>47500</v>
      </c>
      <c r="G31" s="303"/>
    </row>
    <row r="32" spans="1:10" ht="48" customHeight="1">
      <c r="A32" s="313" t="s">
        <v>409</v>
      </c>
      <c r="B32" s="307" t="s">
        <v>410</v>
      </c>
      <c r="C32" s="308" t="s">
        <v>408</v>
      </c>
      <c r="D32" s="511">
        <v>29</v>
      </c>
      <c r="E32" s="316">
        <v>4500</v>
      </c>
      <c r="G32" s="303"/>
    </row>
    <row r="33" spans="1:7" ht="30" customHeight="1">
      <c r="A33" s="299" t="s">
        <v>411</v>
      </c>
      <c r="B33" s="309"/>
      <c r="C33" s="310"/>
      <c r="D33" s="318"/>
      <c r="E33" s="18"/>
    </row>
    <row r="34" spans="1:7" ht="30" customHeight="1">
      <c r="A34" s="319" t="s">
        <v>1</v>
      </c>
      <c r="B34" s="320" t="s">
        <v>381</v>
      </c>
      <c r="C34" s="319" t="s">
        <v>382</v>
      </c>
      <c r="D34" s="319" t="s">
        <v>383</v>
      </c>
    </row>
    <row r="35" spans="1:7" ht="30" customHeight="1">
      <c r="A35" s="313" t="s">
        <v>412</v>
      </c>
      <c r="B35" s="307" t="s">
        <v>413</v>
      </c>
      <c r="C35" s="308" t="s">
        <v>414</v>
      </c>
      <c r="D35" s="511">
        <v>157</v>
      </c>
      <c r="E35" s="149"/>
    </row>
    <row r="36" spans="1:7" ht="30" customHeight="1">
      <c r="A36" s="313" t="s">
        <v>415</v>
      </c>
      <c r="B36" s="307" t="s">
        <v>416</v>
      </c>
      <c r="C36" s="308" t="s">
        <v>414</v>
      </c>
      <c r="D36" s="511">
        <v>667</v>
      </c>
      <c r="E36" s="149"/>
    </row>
    <row r="37" spans="1:7" ht="30" customHeight="1">
      <c r="A37" s="313" t="s">
        <v>417</v>
      </c>
      <c r="B37" s="307" t="s">
        <v>418</v>
      </c>
      <c r="C37" s="308" t="s">
        <v>414</v>
      </c>
      <c r="D37" s="511">
        <v>53</v>
      </c>
      <c r="E37" s="149"/>
    </row>
    <row r="38" spans="1:7" ht="30" customHeight="1">
      <c r="A38" s="313" t="s">
        <v>419</v>
      </c>
      <c r="B38" s="307" t="s">
        <v>420</v>
      </c>
      <c r="C38" s="308" t="s">
        <v>414</v>
      </c>
      <c r="D38" s="511">
        <v>838</v>
      </c>
      <c r="E38" s="321" t="s">
        <v>421</v>
      </c>
    </row>
    <row r="39" spans="1:7" ht="30" customHeight="1">
      <c r="A39" s="313" t="s">
        <v>422</v>
      </c>
      <c r="B39" s="315"/>
      <c r="C39" s="322" t="s">
        <v>423</v>
      </c>
      <c r="D39" s="511">
        <v>214</v>
      </c>
      <c r="E39" s="323">
        <v>10</v>
      </c>
      <c r="F39" s="13" t="s">
        <v>392</v>
      </c>
      <c r="G39" s="324"/>
    </row>
    <row r="40" spans="1:7" ht="30" customHeight="1">
      <c r="A40" s="313" t="s">
        <v>424</v>
      </c>
      <c r="B40" s="315"/>
      <c r="C40" s="322" t="s">
        <v>425</v>
      </c>
      <c r="D40" s="511">
        <v>1702</v>
      </c>
      <c r="E40" s="149"/>
    </row>
    <row r="41" spans="1:7" ht="30" customHeight="1">
      <c r="A41" s="313" t="s">
        <v>426</v>
      </c>
      <c r="B41" s="307" t="s">
        <v>427</v>
      </c>
      <c r="C41" s="308" t="s">
        <v>414</v>
      </c>
      <c r="D41" s="527">
        <v>7828013</v>
      </c>
      <c r="E41" s="149"/>
    </row>
    <row r="42" spans="1:7" ht="30" customHeight="1">
      <c r="A42" s="313" t="s">
        <v>428</v>
      </c>
      <c r="B42" s="307" t="s">
        <v>429</v>
      </c>
      <c r="C42" s="308" t="s">
        <v>414</v>
      </c>
      <c r="D42" s="527">
        <v>14141961</v>
      </c>
      <c r="E42" s="149"/>
    </row>
    <row r="43" spans="1:7" ht="30" customHeight="1">
      <c r="A43" s="313" t="s">
        <v>430</v>
      </c>
      <c r="B43" s="307" t="s">
        <v>431</v>
      </c>
      <c r="C43" s="308" t="s">
        <v>414</v>
      </c>
      <c r="D43" s="527">
        <v>12378408</v>
      </c>
      <c r="E43" s="149"/>
    </row>
    <row r="44" spans="1:7" ht="30" customHeight="1">
      <c r="A44" s="325"/>
      <c r="B44" s="326"/>
      <c r="C44" s="327"/>
      <c r="D44" s="318"/>
    </row>
    <row r="45" spans="1:7" ht="30" customHeight="1">
      <c r="A45" s="319" t="s">
        <v>1</v>
      </c>
      <c r="B45" s="320" t="s">
        <v>2</v>
      </c>
      <c r="C45" s="319" t="s">
        <v>432</v>
      </c>
    </row>
    <row r="46" spans="1:7" ht="30" customHeight="1">
      <c r="A46" s="313" t="s">
        <v>433</v>
      </c>
      <c r="B46" s="328" t="s">
        <v>434</v>
      </c>
      <c r="C46" s="511">
        <v>825</v>
      </c>
    </row>
    <row r="47" spans="1:7" ht="30" customHeight="1">
      <c r="A47" s="313" t="s">
        <v>4120</v>
      </c>
      <c r="B47" s="328" t="s">
        <v>8</v>
      </c>
      <c r="C47" s="474">
        <f>4.86-3.01</f>
        <v>1.8500000000000005</v>
      </c>
    </row>
    <row r="48" spans="1:7" ht="30" customHeight="1">
      <c r="A48" s="313" t="s">
        <v>435</v>
      </c>
      <c r="B48" s="328" t="s">
        <v>434</v>
      </c>
      <c r="C48" s="511">
        <v>120</v>
      </c>
    </row>
    <row r="49" spans="1:12" ht="30" customHeight="1">
      <c r="A49" s="329"/>
      <c r="B49" s="330"/>
      <c r="C49" s="329"/>
      <c r="D49" s="318"/>
    </row>
    <row r="50" spans="1:12" ht="30" customHeight="1">
      <c r="A50" s="319" t="s">
        <v>1</v>
      </c>
      <c r="B50" s="320" t="s">
        <v>2</v>
      </c>
      <c r="C50" s="319" t="s">
        <v>432</v>
      </c>
      <c r="D50" s="318"/>
    </row>
    <row r="51" spans="1:12" ht="32.25" customHeight="1">
      <c r="A51" s="313" t="s">
        <v>436</v>
      </c>
      <c r="B51" s="331" t="s">
        <v>437</v>
      </c>
      <c r="C51" s="528">
        <v>82921</v>
      </c>
      <c r="D51" s="303" t="s">
        <v>438</v>
      </c>
      <c r="F51" s="333"/>
    </row>
    <row r="52" spans="1:12" ht="30" customHeight="1">
      <c r="A52" s="313" t="s">
        <v>439</v>
      </c>
      <c r="B52" s="331" t="s">
        <v>437</v>
      </c>
      <c r="C52" s="528">
        <v>50284</v>
      </c>
      <c r="D52" s="211" t="s">
        <v>4121</v>
      </c>
    </row>
    <row r="53" spans="1:12" ht="30" customHeight="1">
      <c r="A53" s="313" t="s">
        <v>440</v>
      </c>
      <c r="B53" s="331" t="s">
        <v>437</v>
      </c>
      <c r="C53" s="528">
        <f>150819*(1715/(1715+554))</f>
        <v>113994.96914940502</v>
      </c>
      <c r="D53" s="211" t="s">
        <v>4122</v>
      </c>
    </row>
    <row r="54" spans="1:12" ht="30" customHeight="1">
      <c r="A54" s="313" t="s">
        <v>441</v>
      </c>
      <c r="B54" s="331" t="s">
        <v>437</v>
      </c>
      <c r="C54" s="528">
        <f>150819*(554/(1715+554))</f>
        <v>36824.030850594972</v>
      </c>
    </row>
    <row r="55" spans="1:12" ht="30" customHeight="1">
      <c r="B55" s="211"/>
    </row>
    <row r="56" spans="1:12" ht="21.75">
      <c r="A56" s="319" t="s">
        <v>1</v>
      </c>
      <c r="B56" s="320" t="s">
        <v>2</v>
      </c>
      <c r="C56" s="334" t="s">
        <v>4104</v>
      </c>
      <c r="D56" s="318"/>
      <c r="F56"/>
      <c r="G56"/>
      <c r="I56" s="335">
        <v>2017</v>
      </c>
      <c r="J56" s="335">
        <v>2016</v>
      </c>
    </row>
    <row r="57" spans="1:12" s="216" customFormat="1" ht="63.75">
      <c r="A57" s="313" t="s">
        <v>442</v>
      </c>
      <c r="B57" s="331" t="s">
        <v>443</v>
      </c>
      <c r="C57" s="545">
        <v>174</v>
      </c>
      <c r="D57" s="336" t="s">
        <v>444</v>
      </c>
      <c r="E57" s="347">
        <v>2</v>
      </c>
      <c r="F57"/>
      <c r="G57"/>
      <c r="I57" s="332"/>
      <c r="J57" s="317">
        <v>208</v>
      </c>
      <c r="K57" s="489" t="s">
        <v>445</v>
      </c>
      <c r="L57" s="339" t="s">
        <v>446</v>
      </c>
    </row>
    <row r="58" spans="1:12" s="216" customFormat="1">
      <c r="A58" s="313" t="s">
        <v>447</v>
      </c>
      <c r="B58" s="331" t="s">
        <v>443</v>
      </c>
      <c r="C58" s="545">
        <v>21</v>
      </c>
      <c r="D58" s="336" t="s">
        <v>444</v>
      </c>
      <c r="E58" s="347">
        <v>2</v>
      </c>
      <c r="F58"/>
      <c r="G58"/>
      <c r="I58" s="332"/>
      <c r="J58" s="317">
        <v>5</v>
      </c>
      <c r="K58" s="338"/>
      <c r="L58" s="339"/>
    </row>
    <row r="59" spans="1:12" s="216" customFormat="1">
      <c r="A59" s="340" t="s">
        <v>448</v>
      </c>
      <c r="B59" s="341" t="s">
        <v>443</v>
      </c>
      <c r="C59" s="545">
        <v>42</v>
      </c>
      <c r="D59" s="336" t="s">
        <v>444</v>
      </c>
      <c r="E59" s="347">
        <v>2</v>
      </c>
      <c r="F59"/>
      <c r="G59"/>
      <c r="I59" s="332"/>
      <c r="J59" s="317">
        <v>57</v>
      </c>
      <c r="K59" s="338"/>
      <c r="L59" s="339"/>
    </row>
    <row r="60" spans="1:12" s="216" customFormat="1" ht="15.75" thickBot="1">
      <c r="A60" s="342" t="s">
        <v>449</v>
      </c>
      <c r="B60" s="343" t="s">
        <v>443</v>
      </c>
      <c r="C60" s="546">
        <v>51</v>
      </c>
      <c r="D60" s="336" t="s">
        <v>444</v>
      </c>
      <c r="E60" s="347">
        <v>2</v>
      </c>
      <c r="F60"/>
      <c r="G60"/>
      <c r="I60" s="512"/>
      <c r="J60" s="317">
        <v>235</v>
      </c>
      <c r="K60" s="338"/>
      <c r="L60" s="339"/>
    </row>
    <row r="61" spans="1:12" s="216" customFormat="1" ht="56.25">
      <c r="A61" s="344" t="s">
        <v>450</v>
      </c>
      <c r="B61" s="345" t="s">
        <v>451</v>
      </c>
      <c r="C61" s="547">
        <v>5</v>
      </c>
      <c r="D61" s="346" t="s">
        <v>444</v>
      </c>
      <c r="E61" s="347">
        <v>2</v>
      </c>
      <c r="F61"/>
      <c r="G61"/>
      <c r="I61" s="317">
        <v>7</v>
      </c>
      <c r="J61" s="317">
        <v>3</v>
      </c>
      <c r="K61" s="338" t="s">
        <v>452</v>
      </c>
      <c r="L61" s="339" t="s">
        <v>453</v>
      </c>
    </row>
    <row r="62" spans="1:12" s="216" customFormat="1" ht="45.75" thickBot="1">
      <c r="A62" s="348" t="s">
        <v>454</v>
      </c>
      <c r="B62" s="349" t="s">
        <v>451</v>
      </c>
      <c r="C62" s="541">
        <v>40</v>
      </c>
      <c r="D62" s="350"/>
      <c r="E62" s="351"/>
      <c r="F62"/>
      <c r="G62"/>
      <c r="I62" s="513">
        <v>40</v>
      </c>
      <c r="J62" s="317">
        <v>40</v>
      </c>
      <c r="K62" s="338"/>
      <c r="L62" s="339"/>
    </row>
    <row r="63" spans="1:12" s="216" customFormat="1" ht="46.5" thickTop="1" thickBot="1">
      <c r="A63" s="352" t="s">
        <v>455</v>
      </c>
      <c r="B63" s="353" t="s">
        <v>456</v>
      </c>
      <c r="C63" s="548">
        <v>38</v>
      </c>
      <c r="D63" s="354" t="s">
        <v>444</v>
      </c>
      <c r="E63" s="355">
        <f>+(315+450)/2</f>
        <v>382.5</v>
      </c>
      <c r="F63"/>
      <c r="G63"/>
      <c r="I63" s="514">
        <v>32</v>
      </c>
      <c r="J63" s="317">
        <v>28</v>
      </c>
      <c r="K63" s="338" t="s">
        <v>457</v>
      </c>
      <c r="L63" s="339" t="s">
        <v>458</v>
      </c>
    </row>
    <row r="64" spans="1:12" s="216" customFormat="1" ht="31.5" thickTop="1" thickBot="1">
      <c r="A64" s="352" t="s">
        <v>459</v>
      </c>
      <c r="B64" s="356" t="s">
        <v>460</v>
      </c>
      <c r="C64" s="549">
        <f>48900*47%</f>
        <v>22983</v>
      </c>
      <c r="D64" s="522"/>
      <c r="E64" s="355"/>
      <c r="F64" t="s">
        <v>4103</v>
      </c>
      <c r="G64"/>
      <c r="I64" s="515">
        <v>25616</v>
      </c>
      <c r="J64" s="317">
        <v>24075</v>
      </c>
      <c r="K64" s="338" t="s">
        <v>461</v>
      </c>
      <c r="L64" s="339" t="s">
        <v>462</v>
      </c>
    </row>
    <row r="65" spans="1:12" s="216" customFormat="1" ht="226.5" thickTop="1" thickBot="1">
      <c r="A65" s="352" t="s">
        <v>463</v>
      </c>
      <c r="B65" s="353" t="s">
        <v>464</v>
      </c>
      <c r="C65" s="549">
        <f>+ (14*25)+(5*20)+(0.25*70)+(2.5*20)+(0.5*100)</f>
        <v>567.5</v>
      </c>
      <c r="D65" s="522"/>
      <c r="E65" s="355"/>
      <c r="F65" s="542" t="s">
        <v>4123</v>
      </c>
      <c r="G65"/>
      <c r="I65" s="516"/>
      <c r="J65" s="317"/>
      <c r="K65" s="338" t="s">
        <v>465</v>
      </c>
      <c r="L65" s="339" t="s">
        <v>466</v>
      </c>
    </row>
    <row r="66" spans="1:12" s="216" customFormat="1" ht="79.5" thickTop="1">
      <c r="A66" s="344" t="s">
        <v>467</v>
      </c>
      <c r="B66" s="357" t="s">
        <v>468</v>
      </c>
      <c r="C66" s="550">
        <v>32</v>
      </c>
      <c r="D66" s="523"/>
      <c r="E66" s="358"/>
      <c r="F66"/>
      <c r="G66"/>
      <c r="I66" s="517">
        <v>32</v>
      </c>
      <c r="J66" s="317">
        <v>32</v>
      </c>
      <c r="K66" s="338" t="s">
        <v>469</v>
      </c>
      <c r="L66" s="339" t="s">
        <v>470</v>
      </c>
    </row>
    <row r="67" spans="1:12" s="216" customFormat="1">
      <c r="A67" s="313" t="s">
        <v>471</v>
      </c>
      <c r="B67" s="331" t="s">
        <v>468</v>
      </c>
      <c r="C67" s="547">
        <v>214</v>
      </c>
      <c r="D67" s="337"/>
      <c r="E67" s="347"/>
      <c r="F67"/>
      <c r="G67"/>
      <c r="I67" s="317">
        <v>212</v>
      </c>
      <c r="J67" s="317">
        <v>211</v>
      </c>
      <c r="K67" s="338"/>
      <c r="L67" s="339"/>
    </row>
    <row r="68" spans="1:12" s="216" customFormat="1" ht="22.5">
      <c r="A68" s="340" t="s">
        <v>472</v>
      </c>
      <c r="B68" s="341" t="s">
        <v>468</v>
      </c>
      <c r="C68" s="551">
        <f>3095-153-101-57-9</f>
        <v>2775</v>
      </c>
      <c r="D68" s="523"/>
      <c r="E68" s="358"/>
      <c r="F68"/>
      <c r="G68"/>
      <c r="I68" s="518">
        <f>3066-153-95-121-7</f>
        <v>2690</v>
      </c>
      <c r="J68" s="317">
        <v>2522</v>
      </c>
      <c r="K68" s="338" t="s">
        <v>473</v>
      </c>
      <c r="L68" s="339"/>
    </row>
    <row r="69" spans="1:12" s="216" customFormat="1" ht="57" thickBot="1">
      <c r="A69" s="359" t="s">
        <v>474</v>
      </c>
      <c r="B69" s="360" t="s">
        <v>468</v>
      </c>
      <c r="C69" s="552">
        <v>22</v>
      </c>
      <c r="D69" s="524" t="s">
        <v>475</v>
      </c>
      <c r="E69" s="351">
        <v>1</v>
      </c>
      <c r="F69"/>
      <c r="G69"/>
      <c r="I69" s="519">
        <v>22</v>
      </c>
      <c r="J69" s="317">
        <v>22</v>
      </c>
      <c r="K69" s="338" t="s">
        <v>476</v>
      </c>
      <c r="L69" s="339" t="s">
        <v>477</v>
      </c>
    </row>
    <row r="70" spans="1:12" s="216" customFormat="1" ht="45.75" thickTop="1">
      <c r="A70" s="361" t="s">
        <v>478</v>
      </c>
      <c r="B70" s="362" t="s">
        <v>479</v>
      </c>
      <c r="C70" s="553">
        <v>640</v>
      </c>
      <c r="D70" s="525" t="s">
        <v>480</v>
      </c>
      <c r="E70" s="358">
        <v>1</v>
      </c>
      <c r="F70"/>
      <c r="G70"/>
      <c r="I70" s="520">
        <v>656</v>
      </c>
      <c r="J70" s="317"/>
      <c r="K70" s="338" t="s">
        <v>481</v>
      </c>
      <c r="L70" s="339" t="s">
        <v>482</v>
      </c>
    </row>
    <row r="71" spans="1:12" s="216" customFormat="1" ht="79.5" thickBot="1">
      <c r="A71" s="363" t="s">
        <v>483</v>
      </c>
      <c r="B71" s="360" t="s">
        <v>484</v>
      </c>
      <c r="C71" s="554">
        <v>262</v>
      </c>
      <c r="D71" s="526" t="s">
        <v>485</v>
      </c>
      <c r="E71" s="364">
        <v>2</v>
      </c>
      <c r="F71"/>
      <c r="G71"/>
      <c r="I71" s="521">
        <v>350</v>
      </c>
      <c r="J71" s="365"/>
      <c r="K71" s="338" t="s">
        <v>486</v>
      </c>
      <c r="L71" s="339"/>
    </row>
    <row r="72" spans="1:12" s="216" customFormat="1" ht="31.5" thickTop="1" thickBot="1">
      <c r="A72" s="363" t="s">
        <v>487</v>
      </c>
      <c r="B72" s="360" t="s">
        <v>484</v>
      </c>
      <c r="C72" s="554">
        <v>295</v>
      </c>
      <c r="D72" s="526" t="s">
        <v>485</v>
      </c>
      <c r="E72" s="364">
        <v>2.5</v>
      </c>
      <c r="F72"/>
      <c r="G72"/>
      <c r="I72" s="521">
        <v>336</v>
      </c>
      <c r="J72" s="365"/>
      <c r="K72" s="338"/>
      <c r="L72" s="339"/>
    </row>
    <row r="73" spans="1:12" s="216" customFormat="1" ht="15.75" thickTop="1">
      <c r="A73" s="366"/>
      <c r="B73" s="367"/>
      <c r="C73" s="368"/>
      <c r="D73" s="369"/>
    </row>
    <row r="74" spans="1:12" ht="30" customHeight="1">
      <c r="A74" s="299" t="s">
        <v>488</v>
      </c>
      <c r="B74" s="370"/>
      <c r="C74" s="371"/>
    </row>
    <row r="75" spans="1:12" ht="30" customHeight="1">
      <c r="A75" s="319" t="s">
        <v>1</v>
      </c>
      <c r="B75" s="320" t="s">
        <v>2</v>
      </c>
      <c r="C75" s="319" t="s">
        <v>432</v>
      </c>
    </row>
    <row r="76" spans="1:12" ht="30" customHeight="1">
      <c r="A76" s="372" t="s">
        <v>489</v>
      </c>
      <c r="B76" s="315" t="s">
        <v>490</v>
      </c>
      <c r="C76" s="332">
        <v>0</v>
      </c>
      <c r="D76" s="373" t="s">
        <v>491</v>
      </c>
    </row>
    <row r="77" spans="1:12" ht="30" customHeight="1">
      <c r="A77" s="372" t="s">
        <v>492</v>
      </c>
      <c r="B77" s="315"/>
      <c r="C77" s="332">
        <v>467286</v>
      </c>
      <c r="D77" s="373" t="s">
        <v>491</v>
      </c>
    </row>
    <row r="78" spans="1:12" ht="30" customHeight="1">
      <c r="A78" s="372" t="s">
        <v>493</v>
      </c>
      <c r="B78" s="315" t="s">
        <v>490</v>
      </c>
      <c r="C78" s="332">
        <v>266897</v>
      </c>
      <c r="D78" s="373" t="s">
        <v>491</v>
      </c>
    </row>
    <row r="79" spans="1:12" ht="30" customHeight="1">
      <c r="A79" s="372" t="s">
        <v>494</v>
      </c>
      <c r="B79" s="315" t="s">
        <v>490</v>
      </c>
      <c r="C79" s="332">
        <v>133895</v>
      </c>
      <c r="D79" s="373" t="s">
        <v>491</v>
      </c>
    </row>
    <row r="80" spans="1:12" ht="30" customHeight="1">
      <c r="A80" s="372" t="s">
        <v>495</v>
      </c>
      <c r="B80" s="315" t="s">
        <v>490</v>
      </c>
      <c r="C80" s="332">
        <v>107461</v>
      </c>
      <c r="D80" s="303" t="s">
        <v>496</v>
      </c>
    </row>
    <row r="90" spans="3:4">
      <c r="C90" s="374">
        <v>15280505</v>
      </c>
      <c r="D90" s="211" t="s">
        <v>502</v>
      </c>
    </row>
    <row r="91" spans="3:4">
      <c r="C91" s="375">
        <v>417550</v>
      </c>
      <c r="D91" s="211" t="s">
        <v>503</v>
      </c>
    </row>
  </sheetData>
  <pageMargins left="0.70866141732283472" right="0.70866141732283472" top="0.35433070866141736" bottom="0.31496062992125984" header="0.31496062992125984" footer="0.31496062992125984"/>
  <pageSetup paperSize="9" scale="70" orientation="landscape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0"/>
  <sheetViews>
    <sheetView showWhiteSpace="0" view="pageLayout" workbookViewId="0">
      <selection sqref="A1:E30"/>
    </sheetView>
  </sheetViews>
  <sheetFormatPr baseColWidth="10" defaultColWidth="10.85546875" defaultRowHeight="15"/>
  <cols>
    <col min="1" max="1" width="60.28515625" style="211" customWidth="1"/>
    <col min="2" max="2" width="14.42578125" style="211" bestFit="1" customWidth="1"/>
    <col min="3" max="3" width="11.5703125" style="211" bestFit="1" customWidth="1"/>
    <col min="4" max="4" width="14.42578125" style="211" bestFit="1" customWidth="1"/>
    <col min="5" max="5" width="11.5703125" style="211" bestFit="1" customWidth="1"/>
    <col min="6" max="16384" width="10.85546875" style="211"/>
  </cols>
  <sheetData>
    <row r="1" spans="1:5" ht="18.75">
      <c r="A1" s="258" t="s">
        <v>584</v>
      </c>
      <c r="B1" s="259"/>
      <c r="C1" s="259"/>
      <c r="D1" s="259"/>
      <c r="E1" s="259"/>
    </row>
    <row r="2" spans="1:5">
      <c r="A2" s="728" t="s">
        <v>328</v>
      </c>
      <c r="B2" s="260" t="s">
        <v>585</v>
      </c>
      <c r="C2" s="730" t="s">
        <v>214</v>
      </c>
      <c r="D2" s="260" t="s">
        <v>251</v>
      </c>
      <c r="E2" s="730" t="s">
        <v>214</v>
      </c>
    </row>
    <row r="3" spans="1:5">
      <c r="A3" s="729"/>
      <c r="B3" s="261"/>
      <c r="C3" s="730"/>
      <c r="D3" s="261"/>
      <c r="E3" s="730"/>
    </row>
    <row r="4" spans="1:5">
      <c r="A4" s="262" t="s">
        <v>329</v>
      </c>
      <c r="B4" s="238">
        <f>SUM(B5:B8)</f>
        <v>91332887</v>
      </c>
      <c r="C4" s="263"/>
      <c r="D4" s="238">
        <f>SUM(D5:D8)</f>
        <v>79580170</v>
      </c>
      <c r="E4" s="263"/>
    </row>
    <row r="5" spans="1:5">
      <c r="A5" s="264" t="s">
        <v>330</v>
      </c>
      <c r="B5" s="265">
        <f>'DATOS PyG'!B5+'DATOS PyG'!B6+'DATOS PyG'!B80</f>
        <v>89993733</v>
      </c>
      <c r="C5" s="266">
        <f>100%</f>
        <v>1</v>
      </c>
      <c r="D5" s="265">
        <f>'DATOS PyG'!C5+'DATOS PyG'!C6+'DATOS PyG'!C80</f>
        <v>79214745</v>
      </c>
      <c r="E5" s="266">
        <f>100%</f>
        <v>1</v>
      </c>
    </row>
    <row r="6" spans="1:5">
      <c r="A6" s="267" t="s">
        <v>331</v>
      </c>
      <c r="B6" s="268">
        <f>'DATOS PyG'!B7+'DATOS PyG'!B81</f>
        <v>121070</v>
      </c>
      <c r="C6" s="269">
        <f>B6/B5</f>
        <v>1.3453159010527989E-3</v>
      </c>
      <c r="D6" s="268">
        <f>'DATOS PyG'!C7+'DATOS PyG'!C81</f>
        <v>104132</v>
      </c>
      <c r="E6" s="269">
        <f>D6/D5</f>
        <v>1.3145532438436809E-3</v>
      </c>
    </row>
    <row r="7" spans="1:5">
      <c r="A7" s="267" t="s">
        <v>332</v>
      </c>
      <c r="B7" s="268">
        <f>'DATOS PyG'!B8+'DATOS PyG'!B82</f>
        <v>0</v>
      </c>
      <c r="C7" s="269">
        <f>B7/B5</f>
        <v>0</v>
      </c>
      <c r="D7" s="268">
        <f>'DATOS PyG'!C8+'DATOS PyG'!C85</f>
        <v>0</v>
      </c>
      <c r="E7" s="269">
        <f>D7/D5</f>
        <v>0</v>
      </c>
    </row>
    <row r="8" spans="1:5">
      <c r="A8" s="267" t="s">
        <v>333</v>
      </c>
      <c r="B8" s="268">
        <f>'DATOS PyG'!B15+'DATOS PyG'!B89</f>
        <v>1218084</v>
      </c>
      <c r="C8" s="269">
        <f>B8/B5</f>
        <v>1.3535209168398427E-2</v>
      </c>
      <c r="D8" s="268">
        <f>'DATOS PyG'!C15+'DATOS PyG'!C89</f>
        <v>261293</v>
      </c>
      <c r="E8" s="269">
        <f>D8/D5</f>
        <v>3.2985399372301204E-3</v>
      </c>
    </row>
    <row r="9" spans="1:5">
      <c r="A9" s="270" t="s">
        <v>334</v>
      </c>
      <c r="B9" s="255">
        <f>SUM(B10+B14)</f>
        <v>-47004787</v>
      </c>
      <c r="C9" s="271">
        <f>B9/B5</f>
        <v>-0.52231178142149071</v>
      </c>
      <c r="D9" s="255">
        <f>SUM(D10+D14)</f>
        <v>-37455107</v>
      </c>
      <c r="E9" s="271">
        <f>D9/D5</f>
        <v>-0.47282998891178657</v>
      </c>
    </row>
    <row r="10" spans="1:5">
      <c r="A10" s="264" t="s">
        <v>335</v>
      </c>
      <c r="B10" s="265">
        <f>B11+B12+B13</f>
        <v>-39074693</v>
      </c>
      <c r="C10" s="272">
        <f>B10/B5</f>
        <v>-0.43419348989556861</v>
      </c>
      <c r="D10" s="265">
        <f>D11+D12+D13</f>
        <v>-31458435</v>
      </c>
      <c r="E10" s="272">
        <f>D10/D5</f>
        <v>-0.39712852701854939</v>
      </c>
    </row>
    <row r="11" spans="1:5">
      <c r="A11" s="273" t="s">
        <v>336</v>
      </c>
      <c r="B11" s="268">
        <f>'DATOS PyG'!B10+'DATOS PyG'!B84</f>
        <v>0</v>
      </c>
      <c r="C11" s="269"/>
      <c r="D11" s="268">
        <f>'DATOS PyG'!C10+'DATOS PyG'!C84</f>
        <v>0</v>
      </c>
      <c r="E11" s="269"/>
    </row>
    <row r="12" spans="1:5">
      <c r="A12" s="273" t="s">
        <v>337</v>
      </c>
      <c r="B12" s="268">
        <f>'DATOS PyG'!B11+'DATOS PyG'!B85</f>
        <v>-37868069</v>
      </c>
      <c r="C12" s="269"/>
      <c r="D12" s="268">
        <f>'DATOS PyG'!C11+'DATOS PyG'!C85</f>
        <v>-30784741</v>
      </c>
      <c r="E12" s="269"/>
    </row>
    <row r="13" spans="1:5">
      <c r="A13" s="273" t="s">
        <v>338</v>
      </c>
      <c r="B13" s="268">
        <f>'DATOS PyG'!B12+'DATOS PyG'!B86</f>
        <v>-1206624</v>
      </c>
      <c r="C13" s="269"/>
      <c r="D13" s="268">
        <f>'DATOS PyG'!C12+'DATOS PyG'!C86</f>
        <v>-673694</v>
      </c>
      <c r="E13" s="269"/>
    </row>
    <row r="14" spans="1:5">
      <c r="A14" s="264" t="s">
        <v>339</v>
      </c>
      <c r="B14" s="265">
        <f>SUM(B15:B16)</f>
        <v>-7930094</v>
      </c>
      <c r="C14" s="272">
        <f>B14/B5</f>
        <v>-8.8118291525922141E-2</v>
      </c>
      <c r="D14" s="265">
        <f>SUM(D15:D16)</f>
        <v>-5996672</v>
      </c>
      <c r="E14" s="272">
        <f>D14/D5</f>
        <v>-7.5701461893237176E-2</v>
      </c>
    </row>
    <row r="15" spans="1:5">
      <c r="A15" s="267" t="s">
        <v>340</v>
      </c>
      <c r="B15" s="268">
        <f>'DATOS PyG'!B22+'DATOS PyG'!B96</f>
        <v>-7910555</v>
      </c>
      <c r="C15" s="269"/>
      <c r="D15" s="268">
        <f>'DATOS PyG'!C22+'DATOS PyG'!C96</f>
        <v>-5996672</v>
      </c>
      <c r="E15" s="269"/>
    </row>
    <row r="16" spans="1:5">
      <c r="A16" s="267" t="s">
        <v>341</v>
      </c>
      <c r="B16" s="268">
        <f>'DATOS PyG'!B25+'DATOS PyG'!B99</f>
        <v>-19539</v>
      </c>
      <c r="C16" s="269"/>
      <c r="D16" s="268">
        <f>'DATOS PyG'!C25+'DATOS PyG'!C99</f>
        <v>0</v>
      </c>
      <c r="E16" s="269"/>
    </row>
    <row r="17" spans="1:5" s="402" customFormat="1" ht="12.75">
      <c r="A17" s="412" t="s">
        <v>342</v>
      </c>
      <c r="B17" s="413">
        <f>B5+B6+B7+B8+B10+B14</f>
        <v>44328100</v>
      </c>
      <c r="C17" s="414">
        <f>B17/B5</f>
        <v>0.49256874364796044</v>
      </c>
      <c r="D17" s="413">
        <f>D5+D6+D7+D8+D10+D14</f>
        <v>42125063</v>
      </c>
      <c r="E17" s="414">
        <f>D17/D5</f>
        <v>0.53178310426928721</v>
      </c>
    </row>
    <row r="18" spans="1:5">
      <c r="A18" s="243" t="s">
        <v>343</v>
      </c>
      <c r="B18" s="268">
        <f>'DATOS PyG'!B16+'DATOS PyG'!B90</f>
        <v>0</v>
      </c>
      <c r="C18" s="277"/>
      <c r="D18" s="268">
        <f>'DATOS PyG'!C16+'DATOS PyG'!C90</f>
        <v>0</v>
      </c>
      <c r="E18" s="277"/>
    </row>
    <row r="19" spans="1:5">
      <c r="A19" s="243" t="s">
        <v>344</v>
      </c>
      <c r="B19" s="268">
        <f>'DATOS PyG'!B29+'DATOS PyG'!B101</f>
        <v>1016096</v>
      </c>
      <c r="C19" s="277"/>
      <c r="D19" s="268">
        <f>'DATOS PyG'!C29+'DATOS PyG'!C101</f>
        <v>1074789</v>
      </c>
      <c r="E19" s="277"/>
    </row>
    <row r="20" spans="1:5">
      <c r="A20" s="278" t="s">
        <v>345</v>
      </c>
      <c r="B20" s="265">
        <f>SUM(B21:B24)</f>
        <v>125396</v>
      </c>
      <c r="C20" s="266"/>
      <c r="D20" s="415">
        <f>SUM(D21:D24)</f>
        <v>-306246</v>
      </c>
      <c r="E20" s="266"/>
    </row>
    <row r="21" spans="1:5">
      <c r="A21" s="243" t="s">
        <v>346</v>
      </c>
      <c r="B21" s="268">
        <f>'DATOS PyG'!B36+'DATOS PyG'!B105</f>
        <v>0</v>
      </c>
      <c r="C21" s="277"/>
      <c r="D21" s="268">
        <f>'DATOS PyG'!C36+'DATOS PyG'!C105</f>
        <v>0</v>
      </c>
      <c r="E21" s="277"/>
    </row>
    <row r="22" spans="1:5">
      <c r="A22" s="243" t="s">
        <v>347</v>
      </c>
      <c r="B22" s="268">
        <f>'DATOS PyG'!B37+'DATOS PyG'!B106</f>
        <v>1220</v>
      </c>
      <c r="C22" s="277"/>
      <c r="D22" s="268">
        <f>'DATOS PyG'!C37+'DATOS PyG'!C106</f>
        <v>-156246</v>
      </c>
      <c r="E22" s="277"/>
    </row>
    <row r="23" spans="1:5">
      <c r="A23" s="243" t="s">
        <v>348</v>
      </c>
      <c r="B23" s="268">
        <f>'DATOS PyG'!B38+'DATOS PyG'!B107</f>
        <v>124176</v>
      </c>
      <c r="C23" s="277"/>
      <c r="D23" s="268">
        <f>'DATOS PyG'!C38+'DATOS PyG'!C107</f>
        <v>-150000</v>
      </c>
      <c r="E23" s="277"/>
    </row>
    <row r="24" spans="1:5">
      <c r="A24" s="243" t="s">
        <v>349</v>
      </c>
      <c r="B24" s="268">
        <f>'DATOS PyG'!B39+'DATOS PyG'!B108</f>
        <v>0</v>
      </c>
      <c r="C24" s="277"/>
      <c r="D24" s="268">
        <f>'DATOS PyG'!C39+'DATOS PyG'!C108</f>
        <v>0</v>
      </c>
      <c r="E24" s="277"/>
    </row>
    <row r="25" spans="1:5">
      <c r="A25" s="267" t="s">
        <v>350</v>
      </c>
      <c r="B25" s="268">
        <f>'DATOS PyG'!B41+'DATOS PyG'!B110</f>
        <v>82707</v>
      </c>
      <c r="C25" s="277"/>
      <c r="D25" s="268">
        <f>'DATOS PyG'!C41+'DATOS PyG'!C110</f>
        <v>71074</v>
      </c>
      <c r="E25" s="277"/>
    </row>
    <row r="26" spans="1:5">
      <c r="A26" s="267" t="s">
        <v>351</v>
      </c>
      <c r="B26" s="268">
        <f>'DATOS PyG'!B53+'DATOS PyG'!B112</f>
        <v>0</v>
      </c>
      <c r="C26" s="277"/>
      <c r="D26" s="268">
        <f>'DATOS PyG'!C53+'DATOS PyG'!C112</f>
        <v>0</v>
      </c>
      <c r="E26" s="277"/>
    </row>
    <row r="27" spans="1:5">
      <c r="A27" s="267" t="s">
        <v>352</v>
      </c>
      <c r="B27" s="268">
        <f>'DATOS PyG'!B56+'DATOS PyG'!B113</f>
        <v>0</v>
      </c>
      <c r="C27" s="277"/>
      <c r="D27" s="268">
        <f>'DATOS PyG'!C56+'DATOS PyG'!C113</f>
        <v>0</v>
      </c>
      <c r="E27" s="277"/>
    </row>
    <row r="28" spans="1:5">
      <c r="A28" s="267" t="s">
        <v>353</v>
      </c>
      <c r="B28" s="268">
        <f>'DATOS PyG'!B61+'DATOS PyG'!B116</f>
        <v>0</v>
      </c>
      <c r="C28" s="277"/>
      <c r="D28" s="268">
        <f>'DATOS PyG'!C61+'DATOS PyG'!C116</f>
        <v>0</v>
      </c>
      <c r="E28" s="277"/>
    </row>
    <row r="29" spans="1:5">
      <c r="A29" s="267" t="s">
        <v>354</v>
      </c>
      <c r="B29" s="268">
        <f>'DATOS PyG'!B62+'DATOS PyG'!B117</f>
        <v>0</v>
      </c>
      <c r="C29" s="277"/>
      <c r="D29" s="268">
        <f>'DATOS PyG'!C62+'DATOS PyG'!C117</f>
        <v>0</v>
      </c>
      <c r="E29" s="277"/>
    </row>
    <row r="30" spans="1:5">
      <c r="A30" s="274" t="s">
        <v>355</v>
      </c>
      <c r="B30" s="275">
        <f>B17+B18+B19+B20+B25+B26+B27+B28+B29</f>
        <v>45552299</v>
      </c>
      <c r="C30" s="276">
        <f>B30/B5</f>
        <v>0.50617190199233097</v>
      </c>
      <c r="D30" s="275">
        <f>D17+D18+D19+D20+D25+D26+D27+D28+D29</f>
        <v>42964680</v>
      </c>
      <c r="E30" s="276">
        <f>D30/D5</f>
        <v>0.54238235570915494</v>
      </c>
    </row>
  </sheetData>
  <mergeCells count="3">
    <mergeCell ref="A2:A3"/>
    <mergeCell ref="C2:C3"/>
    <mergeCell ref="E2:E3"/>
  </mergeCells>
  <pageMargins left="0.7" right="0.7" top="0.75" bottom="0.75" header="0.3" footer="0.3"/>
  <pageSetup paperSize="9" scale="77" orientation="portrait" r:id="rId1"/>
  <headerFooter>
    <oddHeader>&amp;CGENERACIÓN DE VALOR AÑADIDO:
 METODO DIRECTO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H29"/>
  <sheetViews>
    <sheetView view="pageLayout" workbookViewId="0">
      <selection sqref="A1:E29"/>
    </sheetView>
  </sheetViews>
  <sheetFormatPr baseColWidth="10" defaultColWidth="10.85546875" defaultRowHeight="15"/>
  <cols>
    <col min="1" max="1" width="57.5703125" style="211" customWidth="1"/>
    <col min="2" max="5" width="10.85546875" style="211"/>
    <col min="6" max="6" width="11.28515625" style="211" bestFit="1" customWidth="1"/>
    <col min="7" max="7" width="15.140625" style="211" bestFit="1" customWidth="1"/>
    <col min="8" max="16384" width="10.85546875" style="211"/>
  </cols>
  <sheetData>
    <row r="1" spans="1:8" ht="18.75">
      <c r="A1" s="258" t="s">
        <v>590</v>
      </c>
      <c r="B1" s="259"/>
      <c r="C1" s="259"/>
      <c r="D1" s="259"/>
      <c r="E1" s="259"/>
    </row>
    <row r="2" spans="1:8">
      <c r="A2" s="728" t="s">
        <v>356</v>
      </c>
      <c r="B2" s="260" t="s">
        <v>4106</v>
      </c>
      <c r="C2" s="730" t="s">
        <v>214</v>
      </c>
      <c r="D2" s="260" t="s">
        <v>4105</v>
      </c>
      <c r="E2" s="730" t="s">
        <v>214</v>
      </c>
    </row>
    <row r="3" spans="1:8" ht="18.75">
      <c r="A3" s="729"/>
      <c r="B3" s="261"/>
      <c r="C3" s="730"/>
      <c r="D3" s="261"/>
      <c r="E3" s="730"/>
      <c r="F3" s="258" t="s">
        <v>589</v>
      </c>
      <c r="G3" s="258" t="s">
        <v>591</v>
      </c>
    </row>
    <row r="4" spans="1:8" ht="15.75">
      <c r="A4" s="279" t="s">
        <v>357</v>
      </c>
      <c r="B4" s="280">
        <f>B5+B6</f>
        <v>31401108</v>
      </c>
      <c r="C4" s="281">
        <f>B4/B27</f>
        <v>0.68934189249152933</v>
      </c>
      <c r="D4" s="280">
        <f>D5+D6</f>
        <v>34269697</v>
      </c>
      <c r="E4" s="281">
        <f>D4/D27</f>
        <v>0.79762486302702595</v>
      </c>
      <c r="F4" s="417">
        <f>(B4+B15+B16+B17)/B27</f>
        <v>0.88016326025608493</v>
      </c>
      <c r="G4" s="417">
        <f>B4/B27</f>
        <v>0.68934189249152933</v>
      </c>
    </row>
    <row r="5" spans="1:8">
      <c r="A5" s="267" t="s">
        <v>358</v>
      </c>
      <c r="B5" s="268">
        <f>-('DATOS PyG'!B18+'DATOS PyG'!B92)-(B16+B17)</f>
        <v>31401108</v>
      </c>
      <c r="C5" s="269"/>
      <c r="D5" s="268">
        <f>-('DATOS PyG'!C18+'DATOS PyG'!C92)</f>
        <v>34269697</v>
      </c>
      <c r="E5" s="269"/>
    </row>
    <row r="6" spans="1:8" ht="15.75">
      <c r="A6" s="233" t="s">
        <v>359</v>
      </c>
      <c r="B6" s="283">
        <f>-('DATOS PyG'!B20+'DATOS PyG'!B94)</f>
        <v>0</v>
      </c>
      <c r="C6" s="284"/>
      <c r="D6" s="283">
        <f>-('DATOS PyG'!C20+'DATOS PyG'!C94)</f>
        <v>0</v>
      </c>
      <c r="E6" s="284"/>
      <c r="F6" s="488" t="s">
        <v>3441</v>
      </c>
      <c r="G6" s="488"/>
      <c r="H6" s="488"/>
    </row>
    <row r="7" spans="1:8" ht="15.75">
      <c r="A7" s="279" t="s">
        <v>360</v>
      </c>
      <c r="B7" s="285">
        <f>B9+B11</f>
        <v>246786</v>
      </c>
      <c r="C7" s="281">
        <f>B7/B27</f>
        <v>5.4176409405812869E-3</v>
      </c>
      <c r="D7" s="285">
        <f>D9+D11</f>
        <v>168210</v>
      </c>
      <c r="E7" s="484">
        <f>D7/D27</f>
        <v>3.9150762905716978E-3</v>
      </c>
      <c r="F7" s="485"/>
      <c r="G7" s="487">
        <f>DATOS!D41+DATOS!D42</f>
        <v>21969974</v>
      </c>
      <c r="H7" s="486"/>
    </row>
    <row r="8" spans="1:8">
      <c r="A8" s="286" t="s">
        <v>361</v>
      </c>
      <c r="B8" s="282"/>
      <c r="C8" s="287"/>
      <c r="D8" s="282"/>
      <c r="E8" s="287"/>
    </row>
    <row r="9" spans="1:8">
      <c r="A9" s="288" t="s">
        <v>362</v>
      </c>
      <c r="B9" s="282">
        <f>'DATOS PyG'!B75</f>
        <v>0</v>
      </c>
      <c r="C9" s="287"/>
      <c r="D9" s="282">
        <f>'DATOS PyG'!C75</f>
        <v>0</v>
      </c>
      <c r="E9" s="287"/>
    </row>
    <row r="10" spans="1:8">
      <c r="A10" s="286" t="s">
        <v>363</v>
      </c>
      <c r="B10" s="282"/>
      <c r="C10" s="287"/>
      <c r="D10" s="282"/>
      <c r="E10" s="287"/>
    </row>
    <row r="11" spans="1:8">
      <c r="A11" s="288" t="s">
        <v>364</v>
      </c>
      <c r="B11" s="282">
        <f>-('DATOS PyG'!B49+'DATOS PyG'!B111)</f>
        <v>246786</v>
      </c>
      <c r="C11" s="287"/>
      <c r="D11" s="282">
        <f>-('DATOS PyG'!C49+'DATOS PyG'!C111)</f>
        <v>168210</v>
      </c>
      <c r="E11" s="287"/>
    </row>
    <row r="12" spans="1:8" ht="15.75">
      <c r="A12" s="279" t="s">
        <v>365</v>
      </c>
      <c r="B12" s="285">
        <f>B14+B18+B15+B16+B17</f>
        <v>8745884</v>
      </c>
      <c r="C12" s="281">
        <f>B12/B27</f>
        <v>0.19199654445541817</v>
      </c>
      <c r="D12" s="285">
        <f>D14+D15</f>
        <v>4338035</v>
      </c>
      <c r="E12" s="281">
        <f>D12/D27</f>
        <v>0.10096746909321797</v>
      </c>
    </row>
    <row r="13" spans="1:8">
      <c r="A13" s="286" t="s">
        <v>366</v>
      </c>
      <c r="B13" s="289"/>
      <c r="C13" s="290"/>
      <c r="D13" s="289"/>
      <c r="E13" s="290"/>
    </row>
    <row r="14" spans="1:8">
      <c r="A14" s="267" t="s">
        <v>367</v>
      </c>
      <c r="B14" s="282">
        <f>-('DATOS PyG'!B23+'DATOS PyG'!B97)</f>
        <v>53532</v>
      </c>
      <c r="C14" s="269"/>
      <c r="D14" s="282">
        <f>-('DATOS PyG'!C23+'DATOS PyG'!C97)</f>
        <v>57919</v>
      </c>
      <c r="E14" s="269"/>
    </row>
    <row r="15" spans="1:8">
      <c r="A15" s="267" t="s">
        <v>586</v>
      </c>
      <c r="B15" s="282">
        <f>-('DATOS PyG'!B$19+'DATOS PyG'!B$93)</f>
        <v>5121710</v>
      </c>
      <c r="C15" s="269"/>
      <c r="D15" s="282">
        <f>+-('DATOS PyG'!C19+'DATOS PyG'!C93)</f>
        <v>4280116</v>
      </c>
      <c r="E15" s="269"/>
    </row>
    <row r="16" spans="1:8">
      <c r="A16" s="416" t="s">
        <v>587</v>
      </c>
      <c r="B16" s="282">
        <f>DATOS!D4-'EVA_Aplicación del VAB'!B15</f>
        <v>1646598</v>
      </c>
      <c r="C16" s="269"/>
      <c r="D16" s="282"/>
      <c r="E16" s="269"/>
    </row>
    <row r="17" spans="1:5">
      <c r="A17" s="416" t="s">
        <v>588</v>
      </c>
      <c r="B17" s="530">
        <f>DATOS!D5</f>
        <v>1924044</v>
      </c>
      <c r="C17" s="269"/>
      <c r="D17" s="282"/>
      <c r="E17" s="269"/>
    </row>
    <row r="18" spans="1:5">
      <c r="A18" s="244" t="s">
        <v>368</v>
      </c>
      <c r="B18" s="282">
        <f>-('DATOS PyG'!B65+'DATOS PyG'!B120)</f>
        <v>0</v>
      </c>
      <c r="C18" s="269"/>
      <c r="D18" s="282">
        <f>-('DATOS PyG'!C65+'DATOS PyG'!C120)</f>
        <v>0</v>
      </c>
      <c r="E18" s="269"/>
    </row>
    <row r="19" spans="1:5" ht="15.75">
      <c r="A19" s="279" t="s">
        <v>369</v>
      </c>
      <c r="B19" s="285">
        <f>SUM(B20:B26)</f>
        <v>5158521</v>
      </c>
      <c r="C19" s="291">
        <f>B19/B27</f>
        <v>0.11324392211247121</v>
      </c>
      <c r="D19" s="285">
        <f>SUM(D20:D26)</f>
        <v>4188738</v>
      </c>
      <c r="E19" s="291">
        <f>D19/D27</f>
        <v>9.7492591589184413E-2</v>
      </c>
    </row>
    <row r="20" spans="1:5">
      <c r="A20" s="267" t="s">
        <v>370</v>
      </c>
      <c r="B20" s="282">
        <f>-('DATOS PyG'!B26+'DATOS PyG'!B100)</f>
        <v>3547512</v>
      </c>
      <c r="C20" s="269"/>
      <c r="D20" s="282">
        <f>-('DATOS PyG'!C26+'DATOS PyG'!C100)</f>
        <v>3544839</v>
      </c>
      <c r="E20" s="269"/>
    </row>
    <row r="21" spans="1:5">
      <c r="A21" s="273" t="s">
        <v>371</v>
      </c>
      <c r="B21" s="282">
        <f>-('DATOS PyG'!B13+'DATOS PyG'!B87)</f>
        <v>29998</v>
      </c>
      <c r="C21" s="269"/>
      <c r="D21" s="282">
        <f>-('DATOS PyG'!C13+'DATOS PyG'!C87)</f>
        <v>86771</v>
      </c>
      <c r="E21" s="269"/>
    </row>
    <row r="22" spans="1:5">
      <c r="A22" s="267" t="s">
        <v>372</v>
      </c>
      <c r="B22" s="282">
        <f>-('DATOS PyG'!B24+'DATOS PyG'!B98)</f>
        <v>4250</v>
      </c>
      <c r="C22" s="269"/>
      <c r="D22" s="282">
        <f>-('DATOS PyG'!C24+'DATOS PyG'!C98)</f>
        <v>-100659</v>
      </c>
      <c r="E22" s="269"/>
    </row>
    <row r="23" spans="1:5">
      <c r="A23" s="267" t="s">
        <v>373</v>
      </c>
      <c r="B23" s="282">
        <f>-('DATOS PyG'!B32+'DATOS PyG'!B102)</f>
        <v>0</v>
      </c>
      <c r="C23" s="269"/>
      <c r="D23" s="282">
        <f>-('DATOS PyG'!C32+'DATOS PyG'!C102)</f>
        <v>0</v>
      </c>
      <c r="E23" s="269"/>
    </row>
    <row r="24" spans="1:5">
      <c r="A24" s="267" t="s">
        <v>374</v>
      </c>
      <c r="B24" s="282">
        <f>-('DATOS PyG'!B35+'DATOS PyG'!B104)</f>
        <v>0</v>
      </c>
      <c r="C24" s="269"/>
      <c r="D24" s="282">
        <f>-'DATOS PyG'!C35+'DATOS PyG'!C104</f>
        <v>0</v>
      </c>
      <c r="E24" s="269"/>
    </row>
    <row r="25" spans="1:5">
      <c r="A25" s="267" t="s">
        <v>375</v>
      </c>
      <c r="B25" s="282">
        <f>-('DATOS PyG'!B60+'DATOS PyG'!B115)</f>
        <v>-29815</v>
      </c>
      <c r="C25" s="269"/>
      <c r="D25" s="282">
        <f>-('DATOS PyG'!C60+'DATOS PyG'!C115)</f>
        <v>0</v>
      </c>
      <c r="E25" s="269"/>
    </row>
    <row r="26" spans="1:5">
      <c r="A26" s="267" t="s">
        <v>376</v>
      </c>
      <c r="B26" s="282">
        <f>'DATOS PyG'!B74</f>
        <v>1606576</v>
      </c>
      <c r="C26" s="269"/>
      <c r="D26" s="282">
        <v>657787</v>
      </c>
      <c r="E26" s="269"/>
    </row>
    <row r="27" spans="1:5">
      <c r="A27" s="274" t="s">
        <v>377</v>
      </c>
      <c r="B27" s="292">
        <f>B4+B7+B12+B19</f>
        <v>45552299</v>
      </c>
      <c r="C27" s="293">
        <f>100%</f>
        <v>1</v>
      </c>
      <c r="D27" s="292">
        <f>D4+D7+D12+D19</f>
        <v>42964680</v>
      </c>
      <c r="E27" s="293">
        <f>100%</f>
        <v>1</v>
      </c>
    </row>
    <row r="28" spans="1:5">
      <c r="B28" s="294"/>
      <c r="D28" s="216"/>
    </row>
    <row r="29" spans="1:5">
      <c r="A29" s="295" t="s">
        <v>378</v>
      </c>
      <c r="B29" s="257">
        <f>-B27+'EVA_Generación VAB'!B30</f>
        <v>0</v>
      </c>
      <c r="C29" s="252"/>
      <c r="D29" s="257">
        <f>-D27+'EVA_Generación VAB'!D30</f>
        <v>0</v>
      </c>
      <c r="E29" s="252"/>
    </row>
  </sheetData>
  <mergeCells count="3">
    <mergeCell ref="A2:A3"/>
    <mergeCell ref="C2:C3"/>
    <mergeCell ref="E2:E3"/>
  </mergeCells>
  <pageMargins left="0.7" right="0.7" top="0.75" bottom="0.75" header="0.3" footer="0.3"/>
  <pageSetup paperSize="9" scale="84" orientation="portrait" r:id="rId1"/>
  <headerFooter>
    <oddHeader>&amp;CREPARTO DE VALOR AÑADIDO:
 METODO INDIRECTO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B2:D19"/>
  <sheetViews>
    <sheetView workbookViewId="0">
      <selection activeCell="C10" sqref="C10"/>
    </sheetView>
  </sheetViews>
  <sheetFormatPr baseColWidth="10" defaultColWidth="11.42578125" defaultRowHeight="15"/>
  <cols>
    <col min="1" max="1" width="5" style="211" customWidth="1"/>
    <col min="2" max="2" width="45.85546875" style="211" customWidth="1"/>
    <col min="3" max="3" width="21.42578125" style="211" customWidth="1"/>
    <col min="4" max="16384" width="11.42578125" style="211"/>
  </cols>
  <sheetData>
    <row r="2" spans="2:4" ht="26.25" customHeight="1">
      <c r="B2" s="731" t="s">
        <v>504</v>
      </c>
      <c r="C2" s="732"/>
    </row>
    <row r="3" spans="2:4">
      <c r="B3" s="377" t="s">
        <v>3401</v>
      </c>
      <c r="C3" s="377" t="s">
        <v>26</v>
      </c>
    </row>
    <row r="4" spans="2:4">
      <c r="B4" s="378" t="s">
        <v>3402</v>
      </c>
      <c r="C4" s="379">
        <f>'DATOS PyG'!B5</f>
        <v>74179988</v>
      </c>
    </row>
    <row r="5" spans="2:4">
      <c r="B5" s="378" t="s">
        <v>3403</v>
      </c>
      <c r="C5" s="379">
        <f>DATOS!C9</f>
        <v>0</v>
      </c>
    </row>
    <row r="6" spans="2:4">
      <c r="B6" s="378" t="s">
        <v>3404</v>
      </c>
      <c r="C6" s="379">
        <f>DATOS!C10</f>
        <v>14095223</v>
      </c>
    </row>
    <row r="7" spans="2:4">
      <c r="B7" s="378" t="s">
        <v>3405</v>
      </c>
      <c r="C7" s="379">
        <f>DATOS!C11</f>
        <v>1198435</v>
      </c>
    </row>
    <row r="8" spans="2:4">
      <c r="B8" s="378" t="s">
        <v>3406</v>
      </c>
      <c r="C8" s="379">
        <f>DATOS!C12</f>
        <v>417550</v>
      </c>
    </row>
    <row r="9" spans="2:4">
      <c r="B9" s="378" t="s">
        <v>3407</v>
      </c>
      <c r="C9" s="380"/>
    </row>
    <row r="10" spans="2:4">
      <c r="B10" s="378" t="s">
        <v>3408</v>
      </c>
      <c r="C10" s="379">
        <f>'DATOS PyG'!B7</f>
        <v>121070</v>
      </c>
    </row>
    <row r="12" spans="2:4">
      <c r="C12" s="381">
        <f>SUM(C4:C10)</f>
        <v>90012266</v>
      </c>
      <c r="D12" s="144">
        <f>'DATOS PyG'!B4-FINANCIACIÓN!C12</f>
        <v>-18533</v>
      </c>
    </row>
    <row r="14" spans="2:4">
      <c r="B14" s="1" t="s">
        <v>3409</v>
      </c>
      <c r="C14" s="381">
        <f>C4+C9+C10</f>
        <v>74301058</v>
      </c>
    </row>
    <row r="15" spans="2:4">
      <c r="B15" s="1" t="s">
        <v>3410</v>
      </c>
      <c r="C15" s="381">
        <f>SUM(C5:C8)</f>
        <v>15711208</v>
      </c>
    </row>
    <row r="16" spans="2:4">
      <c r="B16" s="1" t="s">
        <v>3411</v>
      </c>
      <c r="C16" s="381">
        <f>C8</f>
        <v>417550</v>
      </c>
    </row>
    <row r="19" spans="3:3">
      <c r="C19" s="3"/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B1:O10"/>
  <sheetViews>
    <sheetView showGridLines="0" zoomScaleNormal="100" workbookViewId="0">
      <selection activeCell="J20" sqref="J20"/>
    </sheetView>
  </sheetViews>
  <sheetFormatPr baseColWidth="10" defaultColWidth="11.42578125" defaultRowHeight="12.75"/>
  <cols>
    <col min="1" max="1" width="5.28515625" style="382" customWidth="1"/>
    <col min="2" max="2" width="14.7109375" style="382" bestFit="1" customWidth="1"/>
    <col min="3" max="3" width="14.140625" style="382" bestFit="1" customWidth="1"/>
    <col min="4" max="4" width="14.42578125" style="382" bestFit="1" customWidth="1"/>
    <col min="5" max="5" width="17" style="382" bestFit="1" customWidth="1"/>
    <col min="6" max="6" width="16.28515625" style="382" bestFit="1" customWidth="1"/>
    <col min="7" max="7" width="16.28515625" style="382" customWidth="1"/>
    <col min="8" max="8" width="15.85546875" style="382" bestFit="1" customWidth="1"/>
    <col min="9" max="9" width="17.7109375" style="382" customWidth="1"/>
    <col min="10" max="10" width="12.5703125" style="382" customWidth="1"/>
    <col min="11" max="12" width="13.85546875" style="382" customWidth="1"/>
    <col min="13" max="13" width="16.7109375" style="382" customWidth="1"/>
    <col min="14" max="14" width="11.140625" style="382" customWidth="1"/>
    <col min="15" max="15" width="15.28515625" style="382" customWidth="1"/>
    <col min="16" max="16384" width="11.42578125" style="382"/>
  </cols>
  <sheetData>
    <row r="1" spans="2:15" ht="21.75" customHeight="1"/>
    <row r="2" spans="2:15" ht="30.75" customHeight="1">
      <c r="B2" s="383" t="s">
        <v>0</v>
      </c>
      <c r="C2" s="384" t="s">
        <v>3381</v>
      </c>
      <c r="D2" s="384" t="s">
        <v>395</v>
      </c>
      <c r="E2" s="384" t="s">
        <v>6</v>
      </c>
      <c r="F2" s="384" t="s">
        <v>9</v>
      </c>
      <c r="G2" s="384" t="s">
        <v>204</v>
      </c>
      <c r="H2" s="384" t="s">
        <v>16</v>
      </c>
      <c r="I2" s="384" t="s">
        <v>62</v>
      </c>
      <c r="J2" s="384" t="s">
        <v>14</v>
      </c>
      <c r="K2" s="384" t="s">
        <v>3</v>
      </c>
      <c r="L2" s="384" t="s">
        <v>11</v>
      </c>
      <c r="N2" s="538"/>
      <c r="O2" s="539"/>
    </row>
    <row r="3" spans="2:15">
      <c r="B3" s="383" t="s">
        <v>505</v>
      </c>
      <c r="C3" s="386">
        <f>'DATOS PyG'!B4</f>
        <v>89993733</v>
      </c>
      <c r="D3" s="386">
        <f>'EVA_Aplicación del VAB'!B5+'EVA_Aplicación del VAB'!B15+'EVA_Aplicación del VAB'!B16+'EVA_Aplicación del VAB'!B17</f>
        <v>40093460</v>
      </c>
      <c r="E3" s="386">
        <f>'EVA_Aplicación del VAB'!B15+'EVA_Aplicación del VAB'!B16</f>
        <v>6768308</v>
      </c>
      <c r="F3" s="386">
        <f>'EVA_Aplicación del VAB'!B17</f>
        <v>1924044</v>
      </c>
      <c r="G3" s="386">
        <f>D3-(E3+F3)</f>
        <v>31401108</v>
      </c>
      <c r="H3" s="386">
        <f>'EVA_Aplicación del VAB'!B14+'EVA_Aplicación del VAB'!B18</f>
        <v>53532</v>
      </c>
      <c r="I3" s="386">
        <f>'EVA_Aplicación del VAB'!B20+'EVA_Aplicación del VAB'!B21+'EVA_Aplicación del VAB'!B22</f>
        <v>3581760</v>
      </c>
      <c r="J3" s="386">
        <f>'EVA_Aplicación del VAB'!B26</f>
        <v>1606576</v>
      </c>
      <c r="K3" s="386">
        <f>'EVA_Aplicación del VAB'!B27</f>
        <v>45552299</v>
      </c>
      <c r="L3" s="386">
        <f>DATOS!D6</f>
        <v>6341166</v>
      </c>
      <c r="N3" s="418"/>
    </row>
    <row r="4" spans="2:15">
      <c r="C4" s="387" t="s">
        <v>506</v>
      </c>
      <c r="D4" s="387" t="s">
        <v>507</v>
      </c>
      <c r="E4" s="387" t="s">
        <v>508</v>
      </c>
      <c r="F4" s="387" t="s">
        <v>509</v>
      </c>
      <c r="G4" s="387" t="s">
        <v>3378</v>
      </c>
      <c r="H4" s="387" t="s">
        <v>511</v>
      </c>
      <c r="I4" s="387" t="s">
        <v>3383</v>
      </c>
      <c r="J4" s="387" t="s">
        <v>512</v>
      </c>
      <c r="K4" s="387" t="s">
        <v>516</v>
      </c>
      <c r="L4" s="387" t="s">
        <v>510</v>
      </c>
      <c r="N4" s="387"/>
    </row>
    <row r="5" spans="2:15">
      <c r="D5" s="394">
        <f>D3-(E3+F3+G3)</f>
        <v>0</v>
      </c>
      <c r="E5" s="394">
        <f>+E3-DATOS!D4</f>
        <v>0</v>
      </c>
      <c r="K5" s="394">
        <f>K3-(I3+J3+H3+D3)</f>
        <v>216971</v>
      </c>
      <c r="L5" s="394"/>
    </row>
    <row r="6" spans="2:15">
      <c r="D6" s="394"/>
    </row>
    <row r="8" spans="2:15">
      <c r="B8" s="383" t="s">
        <v>17</v>
      </c>
      <c r="C8" s="388">
        <f>E3+F3+L3+H3</f>
        <v>15087050</v>
      </c>
      <c r="D8" s="389" t="s">
        <v>513</v>
      </c>
    </row>
    <row r="10" spans="2:15">
      <c r="B10" s="383" t="s">
        <v>18</v>
      </c>
      <c r="C10" s="388">
        <f>K3+L3</f>
        <v>51893465</v>
      </c>
      <c r="D10" s="389" t="s">
        <v>3382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4</vt:i4>
      </vt:variant>
    </vt:vector>
  </HeadingPairs>
  <TitlesOfParts>
    <vt:vector size="31" baseType="lpstr">
      <vt:lpstr>PORTADA</vt:lpstr>
      <vt:lpstr>0.FICHA</vt:lpstr>
      <vt:lpstr>INDICE</vt:lpstr>
      <vt:lpstr>DATOS PyG</vt:lpstr>
      <vt:lpstr>DATOS</vt:lpstr>
      <vt:lpstr>EVA_Generación VAB</vt:lpstr>
      <vt:lpstr>EVA_Aplicación del VAB</vt:lpstr>
      <vt:lpstr>FINANCIACIÓN</vt:lpstr>
      <vt:lpstr>VES-D</vt:lpstr>
      <vt:lpstr>VES-IP</vt:lpstr>
      <vt:lpstr>VES-IP (I)</vt:lpstr>
      <vt:lpstr>VES-IC</vt:lpstr>
      <vt:lpstr>DATOS GÉNERO </vt:lpstr>
      <vt:lpstr>GWEI</vt:lpstr>
      <vt:lpstr>A-A</vt:lpstr>
      <vt:lpstr>VSE-F</vt:lpstr>
      <vt:lpstr>VS-EX</vt:lpstr>
      <vt:lpstr>V.EMOC</vt:lpstr>
      <vt:lpstr>V.INTEGRAL</vt:lpstr>
      <vt:lpstr>CA GENERO</vt:lpstr>
      <vt:lpstr>CA GENERO(2)</vt:lpstr>
      <vt:lpstr>RATIOS</vt:lpstr>
      <vt:lpstr>GRAFICOS</vt:lpstr>
      <vt:lpstr>GRAFICOS 2</vt:lpstr>
      <vt:lpstr>MVM1</vt:lpstr>
      <vt:lpstr>MVM2</vt:lpstr>
      <vt:lpstr>INFORME</vt:lpstr>
      <vt:lpstr>'0.FICHA'!Área_de_impresión</vt:lpstr>
      <vt:lpstr>'EVA_Generación VAB'!Área_de_impresión</vt:lpstr>
      <vt:lpstr>INDICE!Área_de_impresión</vt:lpstr>
      <vt:lpstr>V.EMOC!Área_de_impresión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Integra Consultores</dc:creator>
  <cp:lastModifiedBy>Jose Luis Retolaza Avalos</cp:lastModifiedBy>
  <cp:lastPrinted>2016-12-12T14:38:06Z</cp:lastPrinted>
  <dcterms:created xsi:type="dcterms:W3CDTF">2013-06-27T04:59:20Z</dcterms:created>
  <dcterms:modified xsi:type="dcterms:W3CDTF">2023-12-21T10:34:06Z</dcterms:modified>
</cp:coreProperties>
</file>